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<sst xmlns="http://schemas.openxmlformats.org/spreadsheetml/2006/main" count="163" uniqueCount="112">
  <si>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</si>
  <si>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</si>
  <si>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</si>
  <si>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</si>
  <si>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</si>
  <si>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</si>
  <si>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</si>
  <si>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</si>
  <si>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</si>
  <si>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</si>
  <si>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</si>
  <si>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</si>
  <si>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</si>
  <si>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</si>
  <si>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</si>
  <si>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</si>
  <si>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</si>
  <si>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</si>
  <si>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</si>
  <si>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</si>
  <si>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</si>
  <si>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</si>
  <si>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</si>
  <si>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</si>
  <si>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</si>
  <si>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</si>
  <si>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</si>
  <si>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</si>
  <si>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</si>
  <si>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</si>
  <si>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</si>
  <si>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</si>
  <si>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</si>
  <si>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</si>
  <si>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</si>
  <si>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</si>
  <si>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</si>
  <si>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</si>
  <si>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</si>
  <si>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</si>
  <si>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</si>
  <si>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</si>
  <si>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</si>
  <si>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</si>
  <si>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</si>
  <si>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</si>
  <si>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</si>
  <si>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</si>
  <si>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</si>
  <si>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</si>
  <si>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</si>
  <si>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</si>
  <si>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</si>
  <si>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</si>
  <si>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</si>
  <si>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</si>
  <si>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</si>
  <si>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</si>
  <si>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</si>
  <si>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</si>
  <si>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</si>
  <si>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</si>
  <si>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</si>
  <si>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</si>
  <si>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</si>
  <si>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</si>
  <si>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</si>
  <si>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</si>
  <si>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</si>
  <si>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</si>
  <si>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</si>
  <si>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</si>
  <si>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</si>
  <si>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</si>
  <si>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</si>
  <si>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</si>
  <si>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</si>
  <si>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</si>
  <si>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</si>
  <si>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</si>
  <si>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</si>
  <si>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</si>
  <si>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</si>
  <si>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</si>
  <si>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</si>
  <si>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</si>
  <si>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</si>
  <si>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</si>
  <si>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</si>
  <si>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</si>
  <si>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</si>
  <si>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</si>
  <si>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</si>
  <si>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</si>
  <si>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</si>
  <si>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</si>
  <si>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</si>
  <si>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</si>
  <si>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</si>
  <si>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</si>
  <si>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</si>
  <si>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</si>
  <si>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</si>
  <si>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</si>
  <si>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</si>
  <si>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</si>
  <si>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Субвенція державному бюджету на виконання програм соціально-економічного та культурного розвитку регіонів</t>
  </si>
  <si>
    <t>Програма впорядкування тимчасових споруд і зовнішньої реклами</t>
  </si>
  <si>
    <t>План на 1 півріччя, тис.грн.</t>
  </si>
  <si>
    <t>Відсоток виконання плану 1-го півріччя</t>
  </si>
  <si>
    <t>Відхилення від плану 1 півріччя, тис.грн.</t>
  </si>
  <si>
    <t>Аналіз використання коштів загального фонду міського бюджету станом на 13.06.2017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</si>
</sst>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190" fontId="5" fillId="24" borderId="2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25079.4</c:v>
                </c:pt>
                <c:pt idx="1">
                  <c:v>22474.5</c:v>
                </c:pt>
                <c:pt idx="2">
                  <c:v>1005</c:v>
                </c:pt>
                <c:pt idx="3">
                  <c:v>1599.9000000000015</c:v>
                </c:pt>
              </c:numCache>
            </c:numRef>
          </c:val>
          <c:shape val="box"/>
        </c:ser>
        <c:shape val="box"/>
        <c:axId val="67070773"/>
        <c:axId val="66766046"/>
      </c:bar3DChart>
      <c:catAx>
        <c:axId val="67070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766046"/>
        <c:crosses val="autoZero"/>
        <c:auto val="1"/>
        <c:lblOffset val="100"/>
        <c:tickLblSkip val="1"/>
        <c:noMultiLvlLbl val="0"/>
      </c:catAx>
      <c:valAx>
        <c:axId val="667660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707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625652.8999999999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15334.199999999919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180062.80000000005</c:v>
                </c:pt>
                <c:pt idx="1">
                  <c:v>61247.299999999996</c:v>
                </c:pt>
                <c:pt idx="2">
                  <c:v>129811.00000000001</c:v>
                </c:pt>
                <c:pt idx="3">
                  <c:v>17.5</c:v>
                </c:pt>
                <c:pt idx="4">
                  <c:v>8945.8</c:v>
                </c:pt>
                <c:pt idx="5">
                  <c:v>36130.200000000004</c:v>
                </c:pt>
                <c:pt idx="6">
                  <c:v>3494.3999999999996</c:v>
                </c:pt>
                <c:pt idx="7">
                  <c:v>1663.900000000025</c:v>
                </c:pt>
              </c:numCache>
            </c:numRef>
          </c:val>
          <c:shape val="box"/>
        </c:ser>
        <c:shape val="box"/>
        <c:axId val="64023503"/>
        <c:axId val="39340616"/>
      </c:bar3DChart>
      <c:catAx>
        <c:axId val="6402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340616"/>
        <c:crosses val="autoZero"/>
        <c:auto val="1"/>
        <c:lblOffset val="100"/>
        <c:tickLblSkip val="1"/>
        <c:noMultiLvlLbl val="0"/>
      </c:catAx>
      <c:valAx>
        <c:axId val="39340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235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72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345568.49999999994</c:v>
                </c:pt>
                <c:pt idx="1">
                  <c:v>239505.5</c:v>
                </c:pt>
                <c:pt idx="2">
                  <c:v>345568.49999999994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104349.50000000003</c:v>
                </c:pt>
                <c:pt idx="1">
                  <c:v>64517.40000000001</c:v>
                </c:pt>
                <c:pt idx="2">
                  <c:v>104349.50000000003</c:v>
                </c:pt>
              </c:numCache>
            </c:numRef>
          </c:val>
          <c:shape val="box"/>
        </c:ser>
        <c:shape val="box"/>
        <c:axId val="18521225"/>
        <c:axId val="32473298"/>
      </c:bar3DChart>
      <c:catAx>
        <c:axId val="18521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473298"/>
        <c:crosses val="autoZero"/>
        <c:auto val="1"/>
        <c:lblOffset val="100"/>
        <c:tickLblSkip val="1"/>
        <c:noMultiLvlLbl val="0"/>
      </c:catAx>
      <c:valAx>
        <c:axId val="324732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212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16068.100000000002</c:v>
                </c:pt>
                <c:pt idx="1">
                  <c:v>13129.7</c:v>
                </c:pt>
                <c:pt idx="2">
                  <c:v>989.6</c:v>
                </c:pt>
                <c:pt idx="3">
                  <c:v>25.800000000000004</c:v>
                </c:pt>
                <c:pt idx="4">
                  <c:v>20.4</c:v>
                </c:pt>
                <c:pt idx="5">
                  <c:v>1902.6000000000015</c:v>
                </c:pt>
              </c:numCache>
            </c:numRef>
          </c:val>
          <c:shape val="box"/>
        </c:ser>
        <c:shape val="box"/>
        <c:axId val="23824227"/>
        <c:axId val="13091452"/>
      </c:bar3DChart>
      <c:catAx>
        <c:axId val="23824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091452"/>
        <c:crosses val="autoZero"/>
        <c:auto val="1"/>
        <c:lblOffset val="100"/>
        <c:tickLblSkip val="1"/>
        <c:noMultiLvlLbl val="0"/>
      </c:catAx>
      <c:valAx>
        <c:axId val="130914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242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25858.7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7278.300000000002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6306.8</c:v>
                </c:pt>
                <c:pt idx="1">
                  <c:v>3805</c:v>
                </c:pt>
                <c:pt idx="3">
                  <c:v>169.8</c:v>
                </c:pt>
                <c:pt idx="4">
                  <c:v>384.70000000000005</c:v>
                </c:pt>
                <c:pt idx="5">
                  <c:v>120</c:v>
                </c:pt>
                <c:pt idx="6">
                  <c:v>1827.3000000000004</c:v>
                </c:pt>
              </c:numCache>
            </c:numRef>
          </c:val>
          <c:shape val="box"/>
        </c:ser>
        <c:shape val="box"/>
        <c:axId val="50714205"/>
        <c:axId val="53774662"/>
      </c:bar3DChart>
      <c:catAx>
        <c:axId val="50714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774662"/>
        <c:crosses val="autoZero"/>
        <c:auto val="1"/>
        <c:lblOffset val="100"/>
        <c:tickLblSkip val="2"/>
        <c:noMultiLvlLbl val="0"/>
      </c:catAx>
      <c:valAx>
        <c:axId val="537746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142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8044.6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648.3000000000001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870.2000000000002</c:v>
                </c:pt>
                <c:pt idx="1">
                  <c:v>682.6</c:v>
                </c:pt>
                <c:pt idx="3">
                  <c:v>175.7</c:v>
                </c:pt>
                <c:pt idx="5">
                  <c:v>11.900000000000148</c:v>
                </c:pt>
              </c:numCache>
            </c:numRef>
          </c:val>
          <c:shape val="box"/>
        </c:ser>
        <c:shape val="box"/>
        <c:axId val="14209911"/>
        <c:axId val="60780336"/>
      </c:bar3DChart>
      <c:catAx>
        <c:axId val="14209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780336"/>
        <c:crosses val="autoZero"/>
        <c:auto val="1"/>
        <c:lblOffset val="100"/>
        <c:tickLblSkip val="1"/>
        <c:noMultiLvlLbl val="0"/>
      </c:catAx>
      <c:valAx>
        <c:axId val="60780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099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18818.899999999998</c:v>
                </c:pt>
              </c:numCache>
            </c:numRef>
          </c:val>
          <c:shape val="box"/>
        </c:ser>
        <c:shape val="box"/>
        <c:axId val="10152113"/>
        <c:axId val="24260154"/>
      </c:bar3DChart>
      <c:catAx>
        <c:axId val="10152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260154"/>
        <c:crosses val="autoZero"/>
        <c:auto val="1"/>
        <c:lblOffset val="100"/>
        <c:tickLblSkip val="1"/>
        <c:noMultiLvlLbl val="0"/>
      </c:catAx>
      <c:valAx>
        <c:axId val="242601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521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625652.8999999999</c:v>
                </c:pt>
                <c:pt idx="1">
                  <c:v>345568.49999999994</c:v>
                </c:pt>
                <c:pt idx="2">
                  <c:v>67303.3</c:v>
                </c:pt>
                <c:pt idx="3">
                  <c:v>25858.7</c:v>
                </c:pt>
                <c:pt idx="4">
                  <c:v>8044.6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180062.80000000005</c:v>
                </c:pt>
                <c:pt idx="1">
                  <c:v>104349.50000000003</c:v>
                </c:pt>
                <c:pt idx="2">
                  <c:v>16068.100000000002</c:v>
                </c:pt>
                <c:pt idx="3">
                  <c:v>6306.8</c:v>
                </c:pt>
                <c:pt idx="4">
                  <c:v>870.2000000000002</c:v>
                </c:pt>
                <c:pt idx="5">
                  <c:v>25079.4</c:v>
                </c:pt>
                <c:pt idx="6">
                  <c:v>18818.899999999998</c:v>
                </c:pt>
              </c:numCache>
            </c:numRef>
          </c:val>
          <c:shape val="box"/>
        </c:ser>
        <c:shape val="box"/>
        <c:axId val="17014795"/>
        <c:axId val="18915428"/>
      </c:bar3DChart>
      <c:catAx>
        <c:axId val="17014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915428"/>
        <c:crosses val="autoZero"/>
        <c:auto val="1"/>
        <c:lblOffset val="100"/>
        <c:tickLblSkip val="1"/>
        <c:noMultiLvlLbl val="0"/>
      </c:catAx>
      <c:valAx>
        <c:axId val="189154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147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722894.7</c:v>
                </c:pt>
                <c:pt idx="1">
                  <c:v>102336.00000000003</c:v>
                </c:pt>
                <c:pt idx="2">
                  <c:v>28683.1</c:v>
                </c:pt>
                <c:pt idx="3">
                  <c:v>29231.3</c:v>
                </c:pt>
                <c:pt idx="4">
                  <c:v>186.9</c:v>
                </c:pt>
                <c:pt idx="5">
                  <c:v>996364.1999999997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173103</c:v>
                </c:pt>
                <c:pt idx="1">
                  <c:v>42956.7</c:v>
                </c:pt>
                <c:pt idx="2">
                  <c:v>9133.899999999998</c:v>
                </c:pt>
                <c:pt idx="3">
                  <c:v>6252.399999999999</c:v>
                </c:pt>
                <c:pt idx="4">
                  <c:v>17.9</c:v>
                </c:pt>
                <c:pt idx="5">
                  <c:v>222314.5000000001</c:v>
                </c:pt>
              </c:numCache>
            </c:numRef>
          </c:val>
          <c:shape val="box"/>
        </c:ser>
        <c:shape val="box"/>
        <c:axId val="36021125"/>
        <c:axId val="55754670"/>
      </c:bar3DChart>
      <c:catAx>
        <c:axId val="36021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754670"/>
        <c:crosses val="autoZero"/>
        <c:auto val="1"/>
        <c:lblOffset val="100"/>
        <c:tickLblSkip val="1"/>
        <c:noMultiLvlLbl val="0"/>
      </c:catAx>
      <c:valAx>
        <c:axId val="557546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211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1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108</v>
      </c>
      <c r="C3" s="130" t="s">
        <v>91</v>
      </c>
      <c r="D3" s="130" t="s">
        <v>23</v>
      </c>
      <c r="E3" s="130" t="s">
        <v>22</v>
      </c>
      <c r="F3" s="130" t="s">
        <v>109</v>
      </c>
      <c r="G3" s="130" t="s">
        <v>93</v>
      </c>
      <c r="H3" s="130" t="s">
        <v>110</v>
      </c>
      <c r="I3" s="130" t="s">
        <v>92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v>379456.7</v>
      </c>
      <c r="C6" s="46">
        <f>625865.1-190.4-316.9+47.1+50+198+5366.4</f>
        <v>631019.2999999999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+0.1+827.7+1236.3+265+1268.8+15534.8+1302.5+286+428.4+1552.3+442.8+543+160.5+19088.9+16858.4+0.5-0.4+9378.9+533.8+67.6+218+1759.2+23001.7</f>
        <v>302084.8</v>
      </c>
      <c r="E6" s="3">
        <f>D6/D151*100</f>
        <v>42.602550245615134</v>
      </c>
      <c r="F6" s="3">
        <f>D6/B6*100</f>
        <v>79.6098210942118</v>
      </c>
      <c r="G6" s="3">
        <f aca="true" t="shared" si="0" ref="G6:G43">D6/C6*100</f>
        <v>47.87251356654226</v>
      </c>
      <c r="H6" s="47">
        <f>B6-D6</f>
        <v>77371.90000000002</v>
      </c>
      <c r="I6" s="47">
        <f aca="true" t="shared" si="1" ref="I6:I43">C6-D6</f>
        <v>328934.49999999994</v>
      </c>
    </row>
    <row r="7" spans="1:9" s="37" customFormat="1" ht="18.75">
      <c r="A7" s="104" t="s">
        <v>83</v>
      </c>
      <c r="B7" s="97">
        <v>149875.2</v>
      </c>
      <c r="C7" s="94">
        <f>243287.4+47.1</f>
        <v>243334.5</v>
      </c>
      <c r="D7" s="105">
        <f>6699.4+11261.7+10.2+8073.8+9792.3+0.1+0.8+7352+6.6+10108.4-0.1+7942.1+9848.6-0.1+7861.7+17351.9+0.1+8976.7+21107.4</f>
        <v>126393.6</v>
      </c>
      <c r="E7" s="95">
        <f>D7/D6*100</f>
        <v>41.84043685746519</v>
      </c>
      <c r="F7" s="95">
        <f>D7/B7*100</f>
        <v>84.33256469382526</v>
      </c>
      <c r="G7" s="95">
        <f>D7/C7*100</f>
        <v>51.94232630391499</v>
      </c>
      <c r="H7" s="105">
        <f>B7-D7</f>
        <v>23481.600000000006</v>
      </c>
      <c r="I7" s="105">
        <f t="shared" si="1"/>
        <v>116940.9</v>
      </c>
    </row>
    <row r="8" spans="1:9" ht="18">
      <c r="A8" s="23" t="s">
        <v>3</v>
      </c>
      <c r="B8" s="42">
        <v>295727.1</v>
      </c>
      <c r="C8" s="43">
        <f>487771.7+47.1+4992.2</f>
        <v>492811</v>
      </c>
      <c r="D8" s="44">
        <f>12945+14658+9353.4+10.2+0.1+7+16015+13071.9+6973.3+1906+3.4+7.6+13882.5+6.6+747.5+21101.8+2656.1+15.6+10047+6403+9848.6+12369.9+15042.4+0.7+17351.9+16553.3+0.1+9378.9+22855.5</f>
        <v>233212.3</v>
      </c>
      <c r="E8" s="1">
        <f>D8/D6*100</f>
        <v>77.20093827958242</v>
      </c>
      <c r="F8" s="1">
        <f>D8/B8*100</f>
        <v>78.86064550729373</v>
      </c>
      <c r="G8" s="1">
        <f t="shared" si="0"/>
        <v>47.32286819896471</v>
      </c>
      <c r="H8" s="44">
        <f>B8-D8</f>
        <v>62514.79999999999</v>
      </c>
      <c r="I8" s="44">
        <f t="shared" si="1"/>
        <v>259598.7</v>
      </c>
    </row>
    <row r="9" spans="1:9" ht="18">
      <c r="A9" s="23" t="s">
        <v>2</v>
      </c>
      <c r="B9" s="42">
        <v>48.4</v>
      </c>
      <c r="C9" s="43">
        <v>92.5</v>
      </c>
      <c r="D9" s="44">
        <f>2.5+4.3+3.3+7+0.4+1.3+1.6+1.3+1.5-0.1</f>
        <v>23.1</v>
      </c>
      <c r="E9" s="12">
        <f>D9/D6*100</f>
        <v>0.007646859424903206</v>
      </c>
      <c r="F9" s="119">
        <f>D9/B9*100</f>
        <v>47.72727272727273</v>
      </c>
      <c r="G9" s="1">
        <f t="shared" si="0"/>
        <v>24.972972972972972</v>
      </c>
      <c r="H9" s="44">
        <f aca="true" t="shared" si="2" ref="H9:H43">B9-D9</f>
        <v>25.299999999999997</v>
      </c>
      <c r="I9" s="44">
        <f t="shared" si="1"/>
        <v>69.4</v>
      </c>
    </row>
    <row r="10" spans="1:9" ht="18">
      <c r="A10" s="23" t="s">
        <v>1</v>
      </c>
      <c r="B10" s="42">
        <v>17841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</f>
        <v>16422.899999999998</v>
      </c>
      <c r="E10" s="1">
        <f>D10/D6*100</f>
        <v>5.436519811655534</v>
      </c>
      <c r="F10" s="1">
        <f aca="true" t="shared" si="3" ref="F10:F41">D10/B10*100</f>
        <v>92.05145451488144</v>
      </c>
      <c r="G10" s="1">
        <f t="shared" si="0"/>
        <v>59.803361069133146</v>
      </c>
      <c r="H10" s="44">
        <f t="shared" si="2"/>
        <v>1418.1000000000022</v>
      </c>
      <c r="I10" s="44">
        <f t="shared" si="1"/>
        <v>11038.600000000002</v>
      </c>
    </row>
    <row r="11" spans="1:9" ht="18">
      <c r="A11" s="23" t="s">
        <v>0</v>
      </c>
      <c r="B11" s="42">
        <v>50329.1</v>
      </c>
      <c r="C11" s="43">
        <v>80900.5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+125.1</f>
        <v>43821.200000000004</v>
      </c>
      <c r="E11" s="1">
        <f>D11/D6*100</f>
        <v>14.506257845479153</v>
      </c>
      <c r="F11" s="1">
        <f t="shared" si="3"/>
        <v>87.06930980287747</v>
      </c>
      <c r="G11" s="1">
        <f t="shared" si="0"/>
        <v>54.166785124937434</v>
      </c>
      <c r="H11" s="44">
        <f t="shared" si="2"/>
        <v>6507.899999999994</v>
      </c>
      <c r="I11" s="44">
        <f t="shared" si="1"/>
        <v>37079.299999999996</v>
      </c>
    </row>
    <row r="12" spans="1:9" ht="18">
      <c r="A12" s="23" t="s">
        <v>14</v>
      </c>
      <c r="B12" s="42">
        <v>7081.3</v>
      </c>
      <c r="C12" s="43">
        <f>14045.5-16.9</f>
        <v>14028.6</v>
      </c>
      <c r="D12" s="44">
        <f>276.3+3.4+1.2+766.5+1.2+207.2+488.1+284.1+207.8+0.1+1.2+2.8+9+434.7+164.8+490.2+0.8+3.6+1.2+150.2+3.6+534.8+237.6+35.2+0.2+10.9+298.8+1.2+661.3+35.2+0.5+0.1+44.4</f>
        <v>5358.199999999999</v>
      </c>
      <c r="E12" s="1">
        <f>D12/D6*100</f>
        <v>1.7737403537020067</v>
      </c>
      <c r="F12" s="1">
        <f t="shared" si="3"/>
        <v>75.66689732111334</v>
      </c>
      <c r="G12" s="1">
        <f t="shared" si="0"/>
        <v>38.194830560426546</v>
      </c>
      <c r="H12" s="44">
        <f t="shared" si="2"/>
        <v>1723.1000000000013</v>
      </c>
      <c r="I12" s="44">
        <f t="shared" si="1"/>
        <v>8670.400000000001</v>
      </c>
    </row>
    <row r="13" spans="1:9" ht="18.75" thickBot="1">
      <c r="A13" s="23" t="s">
        <v>28</v>
      </c>
      <c r="B13" s="43">
        <f>B6-B8-B9-B10-B11-B12</f>
        <v>8429.800000000043</v>
      </c>
      <c r="C13" s="43">
        <f>C6-C8-C9-C10-C11-C12</f>
        <v>15725.19999999993</v>
      </c>
      <c r="D13" s="43">
        <f>D6-D8-D9-D10-D11-D12</f>
        <v>3247.0999999999967</v>
      </c>
      <c r="E13" s="1">
        <f>D13/D6*100</f>
        <v>1.0748968501559815</v>
      </c>
      <c r="F13" s="1">
        <f t="shared" si="3"/>
        <v>38.5193005765259</v>
      </c>
      <c r="G13" s="1">
        <f t="shared" si="0"/>
        <v>20.64902195202612</v>
      </c>
      <c r="H13" s="44">
        <f t="shared" si="2"/>
        <v>5182.700000000046</v>
      </c>
      <c r="I13" s="44">
        <f t="shared" si="1"/>
        <v>12478.099999999933</v>
      </c>
    </row>
    <row r="14" spans="1:13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v>202107.3</v>
      </c>
      <c r="C18" s="46">
        <f>329127.1+600+14307.6+200+1333.8+15842.2+1513.4</f>
        <v>362924.1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</f>
        <v>156934.90000000005</v>
      </c>
      <c r="E18" s="3">
        <f>D18/D151*100</f>
        <v>22.132285247521853</v>
      </c>
      <c r="F18" s="3">
        <f>D18/B18*100</f>
        <v>77.64929816983359</v>
      </c>
      <c r="G18" s="3">
        <f t="shared" si="0"/>
        <v>43.24179628743312</v>
      </c>
      <c r="H18" s="47">
        <f>B18-D18</f>
        <v>45172.399999999936</v>
      </c>
      <c r="I18" s="47">
        <f t="shared" si="1"/>
        <v>205989.19999999992</v>
      </c>
    </row>
    <row r="19" spans="1:13" s="37" customFormat="1" ht="18.75">
      <c r="A19" s="104" t="s">
        <v>84</v>
      </c>
      <c r="B19" s="97">
        <v>120367.1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7750.2+9045.4-324.4+287.3+8839.2+63.1+167.7+672.4+2.3+8064+287.9+29.4+0.1+353.7+16.6+490.1+8886.5+888+91.8+1141.4+7667.3+57.6+1.8+36.5-0.1+486.8+9514.8+831.1+1390.3+7339.1+50.1+262.3+9505.1+342.6+775.5+7463+6.8+203.4+13.8+367.4</f>
        <v>93067.90000000002</v>
      </c>
      <c r="E19" s="95">
        <f>D19/D18*100</f>
        <v>59.3035073779</v>
      </c>
      <c r="F19" s="95">
        <f t="shared" si="3"/>
        <v>77.32004841854628</v>
      </c>
      <c r="G19" s="95">
        <f t="shared" si="0"/>
        <v>38.85835607115495</v>
      </c>
      <c r="H19" s="105">
        <f t="shared" si="2"/>
        <v>27299.199999999983</v>
      </c>
      <c r="I19" s="105">
        <f t="shared" si="1"/>
        <v>146437.59999999998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202107.3</v>
      </c>
      <c r="C25" s="43">
        <f>C18</f>
        <v>362924.1</v>
      </c>
      <c r="D25" s="43">
        <f>D18</f>
        <v>156934.90000000005</v>
      </c>
      <c r="E25" s="1">
        <f>D25/D18*100</f>
        <v>100</v>
      </c>
      <c r="F25" s="1">
        <f t="shared" si="3"/>
        <v>77.64929816983359</v>
      </c>
      <c r="G25" s="1">
        <f t="shared" si="0"/>
        <v>43.24179628743312</v>
      </c>
      <c r="H25" s="44">
        <f t="shared" si="2"/>
        <v>45172.399999999936</v>
      </c>
      <c r="I25" s="44">
        <f t="shared" si="1"/>
        <v>205989.19999999992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35784.5</v>
      </c>
      <c r="C33" s="46">
        <f>67303.3-3099.2</f>
        <v>64204.100000000006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+0.1+232.7+321.1+2.4+12</f>
        <v>24491</v>
      </c>
      <c r="E33" s="3">
        <f>D33/D151*100</f>
        <v>3.453927698663952</v>
      </c>
      <c r="F33" s="3">
        <f>D33/B33*100</f>
        <v>68.4402464754293</v>
      </c>
      <c r="G33" s="3">
        <f t="shared" si="0"/>
        <v>38.145538992058135</v>
      </c>
      <c r="H33" s="47">
        <f t="shared" si="2"/>
        <v>11293.5</v>
      </c>
      <c r="I33" s="47">
        <f t="shared" si="1"/>
        <v>39713.100000000006</v>
      </c>
    </row>
    <row r="34" spans="1:9" ht="18">
      <c r="A34" s="23" t="s">
        <v>3</v>
      </c>
      <c r="B34" s="42">
        <v>29582.2</v>
      </c>
      <c r="C34" s="43">
        <f>55535.9-3105.8</f>
        <v>52430.1</v>
      </c>
      <c r="D34" s="44">
        <f>1743.2+1833.7+1830.2+1935.3+81+1854.2+129.9+1804.7+34.4+1.5+1881.6+1967.7+0.1+1784.4+235.6+2357.6-0.1</f>
        <v>19475</v>
      </c>
      <c r="E34" s="1">
        <f>D34/D33*100</f>
        <v>79.51900698215671</v>
      </c>
      <c r="F34" s="1">
        <f t="shared" si="3"/>
        <v>65.83350798791164</v>
      </c>
      <c r="G34" s="1">
        <f t="shared" si="0"/>
        <v>37.14469360157619</v>
      </c>
      <c r="H34" s="44">
        <f t="shared" si="2"/>
        <v>10107.2</v>
      </c>
      <c r="I34" s="44">
        <f t="shared" si="1"/>
        <v>32955.1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1595.5</v>
      </c>
      <c r="C36" s="43">
        <v>2945.3</v>
      </c>
      <c r="D36" s="44">
        <f>5.4+1.2+41.8+16.1+2.9+29.7+160.9+0.8+93.4+46.9+11.2+0.1+15.2+184.7+9.2+183.2+0.9+11.9+0.1+174+0.1+59.2+12.8+2+8.2+325.6+7.6-0.1+53.7+13.4+10.7+7.4+0.6+1.6</f>
        <v>1492.4</v>
      </c>
      <c r="E36" s="1">
        <f>D36/D33*100</f>
        <v>6.093667061369483</v>
      </c>
      <c r="F36" s="1">
        <f t="shared" si="3"/>
        <v>93.53807583829521</v>
      </c>
      <c r="G36" s="1">
        <f t="shared" si="0"/>
        <v>50.670559875055176</v>
      </c>
      <c r="H36" s="44">
        <f t="shared" si="2"/>
        <v>103.09999999999991</v>
      </c>
      <c r="I36" s="44">
        <f t="shared" si="1"/>
        <v>1452.9</v>
      </c>
    </row>
    <row r="37" spans="1:9" s="37" customFormat="1" ht="18.75">
      <c r="A37" s="18" t="s">
        <v>7</v>
      </c>
      <c r="B37" s="51">
        <v>511.2</v>
      </c>
      <c r="C37" s="52">
        <v>856.1</v>
      </c>
      <c r="D37" s="53">
        <f>7.4+12.3+6.1+3.3+9.3+3.2+58.1+36.7+24.4+18.9-18.9+0.1+12</f>
        <v>172.90000000000003</v>
      </c>
      <c r="E37" s="17">
        <f>D37/D33*100</f>
        <v>0.7059736229635378</v>
      </c>
      <c r="F37" s="17">
        <f t="shared" si="3"/>
        <v>33.82237871674492</v>
      </c>
      <c r="G37" s="17">
        <f t="shared" si="0"/>
        <v>20.196238757154543</v>
      </c>
      <c r="H37" s="53">
        <f t="shared" si="2"/>
        <v>338.29999999999995</v>
      </c>
      <c r="I37" s="53">
        <f t="shared" si="1"/>
        <v>683.2</v>
      </c>
    </row>
    <row r="38" spans="1:9" ht="18">
      <c r="A38" s="23" t="s">
        <v>14</v>
      </c>
      <c r="B38" s="42">
        <v>25.5</v>
      </c>
      <c r="C38" s="43">
        <v>80.8</v>
      </c>
      <c r="D38" s="43">
        <f>5.1+5.1+5.1+5.1+5.1</f>
        <v>25.5</v>
      </c>
      <c r="E38" s="1">
        <f>D38/D33*100</f>
        <v>0.10411988077252868</v>
      </c>
      <c r="F38" s="1">
        <f t="shared" si="3"/>
        <v>100</v>
      </c>
      <c r="G38" s="1">
        <f t="shared" si="0"/>
        <v>31.55940594059406</v>
      </c>
      <c r="H38" s="44">
        <f t="shared" si="2"/>
        <v>0</v>
      </c>
      <c r="I38" s="44">
        <f t="shared" si="1"/>
        <v>55.3</v>
      </c>
    </row>
    <row r="39" spans="1:9" ht="18.75" thickBot="1">
      <c r="A39" s="23" t="s">
        <v>28</v>
      </c>
      <c r="B39" s="42">
        <f>B33-B34-B36-B37-B35-B38</f>
        <v>4070.0999999999995</v>
      </c>
      <c r="C39" s="42">
        <f>C33-C34-C36-C37-C35-C38</f>
        <v>7891.8000000000075</v>
      </c>
      <c r="D39" s="42">
        <f>D33-D34-D36-D37-D35-D38</f>
        <v>3325.2</v>
      </c>
      <c r="E39" s="1">
        <f>D39/D33*100</f>
        <v>13.57723245273774</v>
      </c>
      <c r="F39" s="1">
        <f t="shared" si="3"/>
        <v>81.69823837252157</v>
      </c>
      <c r="G39" s="1">
        <f t="shared" si="0"/>
        <v>42.13487417319239</v>
      </c>
      <c r="H39" s="44">
        <f>B39-D39</f>
        <v>744.8999999999996</v>
      </c>
      <c r="I39" s="44">
        <f t="shared" si="1"/>
        <v>4566.600000000008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1170.2</v>
      </c>
      <c r="C43" s="46">
        <f>1548.6+6.6+21.9+503.3</f>
        <v>2080.4</v>
      </c>
      <c r="D43" s="47">
        <f>29.1+22+50.2+8.1+0.6+111.5+89.2+3+14.7+7.1+8.4+11.5+17.6+100.3+27.2+6.2-0.1+30.1+12.7+5+6.1+5+7.2+55.8+7.4+109.8-0.1+35+11.8+22.6+27.4+6.5+3.2+63.8+35.8+6.6+2.7+4</f>
        <v>964.9999999999999</v>
      </c>
      <c r="E43" s="3">
        <f>D43/D151*100</f>
        <v>0.136092451480573</v>
      </c>
      <c r="F43" s="3">
        <f>D43/B43*100</f>
        <v>82.4645359767561</v>
      </c>
      <c r="G43" s="3">
        <f t="shared" si="0"/>
        <v>46.385310517208225</v>
      </c>
      <c r="H43" s="47">
        <f t="shared" si="2"/>
        <v>205.20000000000016</v>
      </c>
      <c r="I43" s="47">
        <f t="shared" si="1"/>
        <v>1115.4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5947</v>
      </c>
      <c r="C45" s="46">
        <v>11788</v>
      </c>
      <c r="D45" s="47">
        <f>102.9+155.5+3.1+3.7+452.3+6+17.2+314.1+59.3+95.2+2.2+579+1.9+71.6+375.2+7+7.3+568.3+0.1+96.1+326.4+4.1+518.1-0.1+350+35.2+5.1+556.7+19.5</f>
        <v>4733</v>
      </c>
      <c r="E45" s="3">
        <f>D45/D151*100</f>
        <v>0.6674876402668933</v>
      </c>
      <c r="F45" s="3">
        <f>D45/B45*100</f>
        <v>79.58634605683538</v>
      </c>
      <c r="G45" s="3">
        <f aca="true" t="shared" si="4" ref="G45:G76">D45/C45*100</f>
        <v>40.15100101798439</v>
      </c>
      <c r="H45" s="47">
        <f>B45-D45</f>
        <v>1214</v>
      </c>
      <c r="I45" s="47">
        <f aca="true" t="shared" si="5" ref="I45:I77">C45-D45</f>
        <v>7055</v>
      </c>
    </row>
    <row r="46" spans="1:9" ht="18">
      <c r="A46" s="23" t="s">
        <v>3</v>
      </c>
      <c r="B46" s="42">
        <v>5198.1</v>
      </c>
      <c r="C46" s="43">
        <v>10529.7</v>
      </c>
      <c r="D46" s="44">
        <f>102.7+154.9+447.3+314.1+572.1+284.8+559+325.4+510.8+301.6+29.6+556.7+0.1</f>
        <v>4159.1</v>
      </c>
      <c r="E46" s="1">
        <f>D46/D45*100</f>
        <v>87.87449820409888</v>
      </c>
      <c r="F46" s="1">
        <f aca="true" t="shared" si="6" ref="F46:F74">D46/B46*100</f>
        <v>80.01192743502433</v>
      </c>
      <c r="G46" s="1">
        <f t="shared" si="4"/>
        <v>39.49875115150479</v>
      </c>
      <c r="H46" s="44">
        <f aca="true" t="shared" si="7" ref="H46:H74">B46-D46</f>
        <v>1039</v>
      </c>
      <c r="I46" s="44">
        <f t="shared" si="5"/>
        <v>6370.6</v>
      </c>
    </row>
    <row r="47" spans="1:9" ht="18">
      <c r="A47" s="23" t="s">
        <v>2</v>
      </c>
      <c r="B47" s="42">
        <v>0.8</v>
      </c>
      <c r="C47" s="43">
        <v>1.4</v>
      </c>
      <c r="D47" s="44">
        <f>0.4</f>
        <v>0.4</v>
      </c>
      <c r="E47" s="1">
        <f>D47/D45*100</f>
        <v>0.008451299387280795</v>
      </c>
      <c r="F47" s="1">
        <f t="shared" si="6"/>
        <v>50</v>
      </c>
      <c r="G47" s="1">
        <f t="shared" si="4"/>
        <v>28.571428571428577</v>
      </c>
      <c r="H47" s="44">
        <f t="shared" si="7"/>
        <v>0.4</v>
      </c>
      <c r="I47" s="44">
        <f t="shared" si="5"/>
        <v>0.9999999999999999</v>
      </c>
    </row>
    <row r="48" spans="1:9" ht="18">
      <c r="A48" s="23" t="s">
        <v>1</v>
      </c>
      <c r="B48" s="42">
        <v>40.4</v>
      </c>
      <c r="C48" s="43">
        <f>73.4+0.9</f>
        <v>74.30000000000001</v>
      </c>
      <c r="D48" s="44">
        <f>5.4+5.6+7.3+6+2.1</f>
        <v>26.400000000000002</v>
      </c>
      <c r="E48" s="1">
        <f>D48/D45*100</f>
        <v>0.5577857595605324</v>
      </c>
      <c r="F48" s="1">
        <f t="shared" si="6"/>
        <v>65.34653465346535</v>
      </c>
      <c r="G48" s="1">
        <f t="shared" si="4"/>
        <v>35.53162853297442</v>
      </c>
      <c r="H48" s="44">
        <f t="shared" si="7"/>
        <v>13.999999999999996</v>
      </c>
      <c r="I48" s="44">
        <f t="shared" si="5"/>
        <v>47.900000000000006</v>
      </c>
    </row>
    <row r="49" spans="1:9" ht="18">
      <c r="A49" s="23" t="s">
        <v>0</v>
      </c>
      <c r="B49" s="42">
        <v>553.6</v>
      </c>
      <c r="C49" s="43">
        <v>865.1</v>
      </c>
      <c r="D49" s="44">
        <f>3.1+3.5+1+0.7+59.3+95.2+2.2+6-0.1+53.5+89.7+6.2+7.2+73.9+0.4+4+3.2+30.6+0.2+2.7</f>
        <v>442.49999999999994</v>
      </c>
      <c r="E49" s="1">
        <f>D49/D45*100</f>
        <v>9.349249947179377</v>
      </c>
      <c r="F49" s="1">
        <f t="shared" si="6"/>
        <v>79.93135838150287</v>
      </c>
      <c r="G49" s="1">
        <f t="shared" si="4"/>
        <v>51.150156051323535</v>
      </c>
      <c r="H49" s="44">
        <f t="shared" si="7"/>
        <v>111.10000000000008</v>
      </c>
      <c r="I49" s="44">
        <f t="shared" si="5"/>
        <v>422.6000000000001</v>
      </c>
    </row>
    <row r="50" spans="1:9" ht="18.75" thickBot="1">
      <c r="A50" s="23" t="s">
        <v>28</v>
      </c>
      <c r="B50" s="43">
        <f>B45-B46-B49-B48-B47</f>
        <v>154.0999999999996</v>
      </c>
      <c r="C50" s="43">
        <f>C45-C46-C49-C48-C47</f>
        <v>317.49999999999926</v>
      </c>
      <c r="D50" s="43">
        <f>D45-D46-D49-D48-D47</f>
        <v>104.59999999999968</v>
      </c>
      <c r="E50" s="1">
        <f>D50/D45*100</f>
        <v>2.210014789773921</v>
      </c>
      <c r="F50" s="1">
        <f t="shared" si="6"/>
        <v>67.8780012978585</v>
      </c>
      <c r="G50" s="1">
        <f t="shared" si="4"/>
        <v>32.94488188976376</v>
      </c>
      <c r="H50" s="44">
        <f t="shared" si="7"/>
        <v>49.499999999999915</v>
      </c>
      <c r="I50" s="44">
        <f t="shared" si="5"/>
        <v>212.89999999999958</v>
      </c>
    </row>
    <row r="51" spans="1:9" ht="18.75" thickBot="1">
      <c r="A51" s="22" t="s">
        <v>4</v>
      </c>
      <c r="B51" s="45">
        <v>13980.8</v>
      </c>
      <c r="C51" s="46">
        <f>23558.7+50+2250-940.4</f>
        <v>24918.3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475.9+7.8+935.8+30.7-0.1+8+35.8+34+6+454.4+67.8+74.7+41.8+81.6+68+973+34+4.9+131.2+59.3+568.8+113.2+131.2+51.5+32.5+2.5+9+29.3+48.7+24.6+895.5+47.8+195.2+85.2+498.7+48.5+15.2+20.1+884.8+122.4+110.8+0.3+163.9+403+106.7+40.2+97.2+39.2+1124+104.3+23.6+2.9+21.3</f>
        <v>9586.699999999999</v>
      </c>
      <c r="E51" s="3">
        <f>D51/D151*100</f>
        <v>1.351997414102393</v>
      </c>
      <c r="F51" s="3">
        <f>D51/B51*100</f>
        <v>68.57046807049669</v>
      </c>
      <c r="G51" s="3">
        <f t="shared" si="4"/>
        <v>38.472528222230245</v>
      </c>
      <c r="H51" s="47">
        <f>B51-D51</f>
        <v>4394.1</v>
      </c>
      <c r="I51" s="47">
        <f t="shared" si="5"/>
        <v>15331.6</v>
      </c>
    </row>
    <row r="52" spans="1:9" ht="18">
      <c r="A52" s="23" t="s">
        <v>3</v>
      </c>
      <c r="B52" s="42">
        <v>8083.3</v>
      </c>
      <c r="C52" s="43">
        <f>16189.8-940.4</f>
        <v>15249.4</v>
      </c>
      <c r="D52" s="44">
        <f>392.4+738.8+389.6+752.9+403.1+730.4+397.8+724.9+1.1+0.1+403+795.7</f>
        <v>5729.8</v>
      </c>
      <c r="E52" s="1">
        <f>D52/D51*100</f>
        <v>59.768220555561356</v>
      </c>
      <c r="F52" s="1">
        <f t="shared" si="6"/>
        <v>70.88441601821039</v>
      </c>
      <c r="G52" s="1">
        <f t="shared" si="4"/>
        <v>37.57393733523942</v>
      </c>
      <c r="H52" s="44">
        <f t="shared" si="7"/>
        <v>2353.5</v>
      </c>
      <c r="I52" s="44">
        <f t="shared" si="5"/>
        <v>9519.599999999999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420.6</v>
      </c>
      <c r="C54" s="43">
        <v>810.2</v>
      </c>
      <c r="D54" s="44">
        <f>1.9+1.9+0.5+7.4+2.1+1.2+12.9+5.1+0.1+4.5+16.8+19.2+9.7+3.1+1.1+1.4+2.5+5.7+19.9+0.8+28.2+4+19.8+8.2+38.7+4.3+0.2+18.2+4.3+27.9+3.9+3+21+4+9.4</f>
        <v>312.8999999999999</v>
      </c>
      <c r="E54" s="1">
        <f>D54/D51*100</f>
        <v>3.263896857104113</v>
      </c>
      <c r="F54" s="1">
        <f t="shared" si="6"/>
        <v>74.39372325249641</v>
      </c>
      <c r="G54" s="1">
        <f t="shared" si="4"/>
        <v>38.620093803999</v>
      </c>
      <c r="H54" s="44">
        <f t="shared" si="7"/>
        <v>107.7000000000001</v>
      </c>
      <c r="I54" s="44">
        <f t="shared" si="5"/>
        <v>497.3000000000001</v>
      </c>
    </row>
    <row r="55" spans="1:9" ht="18">
      <c r="A55" s="23" t="s">
        <v>0</v>
      </c>
      <c r="B55" s="42">
        <v>636.7</v>
      </c>
      <c r="C55" s="43">
        <v>1048.5</v>
      </c>
      <c r="D55" s="44">
        <f>0.5+0.6+7.5+73.9+2.1+51.2+20.8+16.3+5.9+0.4+16.8+14.9+10.4+71.4+0.3+1.2+1.4+16+1.2+0.1+25+43+3.8+1.3+4.1+73.9-0.2+14.3+2.8+3+2.4+0.3+0.4+1.3</f>
        <v>488.3000000000001</v>
      </c>
      <c r="E55" s="1">
        <f>D55/D51*100</f>
        <v>5.093514973870051</v>
      </c>
      <c r="F55" s="1">
        <f t="shared" si="6"/>
        <v>76.69231977383384</v>
      </c>
      <c r="G55" s="1">
        <f t="shared" si="4"/>
        <v>46.571292322365295</v>
      </c>
      <c r="H55" s="44">
        <f t="shared" si="7"/>
        <v>148.39999999999992</v>
      </c>
      <c r="I55" s="44">
        <f t="shared" si="5"/>
        <v>560.1999999999998</v>
      </c>
    </row>
    <row r="56" spans="1:9" ht="18">
      <c r="A56" s="23" t="s">
        <v>14</v>
      </c>
      <c r="B56" s="42">
        <v>243.3</v>
      </c>
      <c r="C56" s="43">
        <v>518.9</v>
      </c>
      <c r="D56" s="43">
        <f>34+46+40+40+40</f>
        <v>200</v>
      </c>
      <c r="E56" s="1">
        <f>D56/D51*100</f>
        <v>2.0862236223100754</v>
      </c>
      <c r="F56" s="1">
        <f>D56/B56*100</f>
        <v>82.20304151253596</v>
      </c>
      <c r="G56" s="1">
        <f>D56/C56*100</f>
        <v>38.54307188282906</v>
      </c>
      <c r="H56" s="44">
        <f t="shared" si="7"/>
        <v>43.30000000000001</v>
      </c>
      <c r="I56" s="44">
        <f t="shared" si="5"/>
        <v>318.9</v>
      </c>
    </row>
    <row r="57" spans="1:9" ht="18.75" thickBot="1">
      <c r="A57" s="23" t="s">
        <v>28</v>
      </c>
      <c r="B57" s="43">
        <f>B51-B52-B55-B54-B53-B56</f>
        <v>4596.899999999999</v>
      </c>
      <c r="C57" s="43">
        <f>C51-C52-C55-C54-C53-C56</f>
        <v>7278.3</v>
      </c>
      <c r="D57" s="43">
        <f>D51-D52-D55-D54-D53-D56</f>
        <v>2855.6999999999985</v>
      </c>
      <c r="E57" s="1">
        <f>D57/D51*100</f>
        <v>29.7881439911544</v>
      </c>
      <c r="F57" s="1">
        <f t="shared" si="6"/>
        <v>62.12229981074201</v>
      </c>
      <c r="G57" s="1">
        <f t="shared" si="4"/>
        <v>39.23581056015826</v>
      </c>
      <c r="H57" s="44">
        <f>B57-D57</f>
        <v>1741.2000000000003</v>
      </c>
      <c r="I57" s="44">
        <f>C57-D57</f>
        <v>4422.600000000002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3399.6</v>
      </c>
      <c r="C59" s="46">
        <f>7844.6+200</f>
        <v>8044.6</v>
      </c>
      <c r="D59" s="47">
        <f>55.6+0.2+146.1+0.4+60.8+0.4+59.3+73.6+0.1+18.6+1.9+67.3+0.4+57.5+0.6+144.6-4.5+32.9+1.2+79.7+73.5+4+0.1+78.7+72.2+0.1+9.9+53+0.1+12.7+6.3+29.9+85.7+69.4+15.3+39.7+11.2</f>
        <v>1358.5000000000005</v>
      </c>
      <c r="E59" s="3">
        <f>D59/D151*100</f>
        <v>0.19158714542627825</v>
      </c>
      <c r="F59" s="3">
        <f>D59/B59*100</f>
        <v>39.96058359807038</v>
      </c>
      <c r="G59" s="3">
        <f t="shared" si="4"/>
        <v>16.887104393008983</v>
      </c>
      <c r="H59" s="47">
        <f>B59-D59</f>
        <v>2041.0999999999995</v>
      </c>
      <c r="I59" s="47">
        <f t="shared" si="5"/>
        <v>6686.1</v>
      </c>
    </row>
    <row r="60" spans="1:9" ht="18">
      <c r="A60" s="23" t="s">
        <v>3</v>
      </c>
      <c r="B60" s="42">
        <v>1451.1</v>
      </c>
      <c r="C60" s="43">
        <v>2900.3</v>
      </c>
      <c r="D60" s="44">
        <f>55.6+146.1+60.8+59.3+73.6+0.1+67.3+144.6-4.5+79.7+66.8+72.2-0.1+53+75.7+69.4+0.1</f>
        <v>1019.7</v>
      </c>
      <c r="E60" s="1">
        <f>D60/D59*100</f>
        <v>75.06072874493925</v>
      </c>
      <c r="F60" s="1">
        <f t="shared" si="6"/>
        <v>70.27082902625595</v>
      </c>
      <c r="G60" s="1">
        <f t="shared" si="4"/>
        <v>35.15843188635658</v>
      </c>
      <c r="H60" s="44">
        <f t="shared" si="7"/>
        <v>431.39999999999986</v>
      </c>
      <c r="I60" s="44">
        <f t="shared" si="5"/>
        <v>1880.6000000000001</v>
      </c>
    </row>
    <row r="61" spans="1:9" ht="18">
      <c r="A61" s="23" t="s">
        <v>1</v>
      </c>
      <c r="B61" s="42">
        <v>343.7</v>
      </c>
      <c r="C61" s="43">
        <f>337.1+6.6</f>
        <v>343.70000000000005</v>
      </c>
      <c r="D61" s="44">
        <v>3.2</v>
      </c>
      <c r="E61" s="1">
        <f>D61/D59*100</f>
        <v>0.235553919764446</v>
      </c>
      <c r="F61" s="1">
        <f>D61/B61*100</f>
        <v>0.9310445155659005</v>
      </c>
      <c r="G61" s="1">
        <f t="shared" si="4"/>
        <v>0.9310445155659004</v>
      </c>
      <c r="H61" s="44">
        <f t="shared" si="7"/>
        <v>340.5</v>
      </c>
      <c r="I61" s="44">
        <f t="shared" si="5"/>
        <v>340.50000000000006</v>
      </c>
    </row>
    <row r="62" spans="1:9" ht="18">
      <c r="A62" s="23" t="s">
        <v>0</v>
      </c>
      <c r="B62" s="42">
        <v>215.8</v>
      </c>
      <c r="C62" s="43">
        <v>451.8</v>
      </c>
      <c r="D62" s="44">
        <f>0.4+18.6+55.1+0.5+32.9+0.7+67.5+3.7+0.4+6.3+12.6+0.1+4.2</f>
        <v>202.99999999999997</v>
      </c>
      <c r="E62" s="1">
        <f>D62/D59*100</f>
        <v>14.94295178505704</v>
      </c>
      <c r="F62" s="1">
        <f t="shared" si="6"/>
        <v>94.06858202038923</v>
      </c>
      <c r="G62" s="1">
        <f t="shared" si="4"/>
        <v>44.931385568835765</v>
      </c>
      <c r="H62" s="44">
        <f t="shared" si="7"/>
        <v>12.80000000000004</v>
      </c>
      <c r="I62" s="44">
        <f t="shared" si="5"/>
        <v>248.80000000000004</v>
      </c>
    </row>
    <row r="63" spans="1:9" ht="18">
      <c r="A63" s="23" t="s">
        <v>14</v>
      </c>
      <c r="B63" s="42">
        <v>1124.5</v>
      </c>
      <c r="C63" s="43">
        <v>3707.1</v>
      </c>
      <c r="D63" s="44"/>
      <c r="E63" s="1">
        <f>D63/D59*100</f>
        <v>0</v>
      </c>
      <c r="F63" s="1">
        <f t="shared" si="6"/>
        <v>0</v>
      </c>
      <c r="G63" s="1">
        <f t="shared" si="4"/>
        <v>0</v>
      </c>
      <c r="H63" s="44">
        <f t="shared" si="7"/>
        <v>1124.5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264.50000000000006</v>
      </c>
      <c r="C64" s="43">
        <f>C59-C60-C62-C63-C61</f>
        <v>641.7</v>
      </c>
      <c r="D64" s="43">
        <f>D59-D60-D62-D63-D61</f>
        <v>132.60000000000045</v>
      </c>
      <c r="E64" s="1">
        <f>D64/D59*100</f>
        <v>9.760765550239265</v>
      </c>
      <c r="F64" s="1">
        <f t="shared" si="6"/>
        <v>50.1323251417771</v>
      </c>
      <c r="G64" s="1">
        <f t="shared" si="4"/>
        <v>20.663861617578377</v>
      </c>
      <c r="H64" s="44">
        <f t="shared" si="7"/>
        <v>131.8999999999996</v>
      </c>
      <c r="I64" s="44">
        <f t="shared" si="5"/>
        <v>509.09999999999957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350.2</v>
      </c>
      <c r="C69" s="46">
        <f>C70+C71</f>
        <v>460.5</v>
      </c>
      <c r="D69" s="47">
        <f>SUM(D70:D71)</f>
        <v>242.49999999999997</v>
      </c>
      <c r="E69" s="35">
        <f>D69/D151*100</f>
        <v>0.034199398429055915</v>
      </c>
      <c r="F69" s="3">
        <f>D69/B69*100</f>
        <v>69.24614505996573</v>
      </c>
      <c r="G69" s="3">
        <f t="shared" si="4"/>
        <v>52.660152008686204</v>
      </c>
      <c r="H69" s="47">
        <f>B69-D69</f>
        <v>107.70000000000002</v>
      </c>
      <c r="I69" s="47">
        <f t="shared" si="5"/>
        <v>218.00000000000003</v>
      </c>
    </row>
    <row r="70" spans="1:9" ht="18">
      <c r="A70" s="23" t="s">
        <v>8</v>
      </c>
      <c r="B70" s="42">
        <v>289</v>
      </c>
      <c r="C70" s="43">
        <f>289</f>
        <v>289</v>
      </c>
      <c r="D70" s="44">
        <f>19.2+1.5+170.6+1.2+17.7+0.1+11+3+9.5-0.1+2.3</f>
        <v>235.99999999999997</v>
      </c>
      <c r="E70" s="1">
        <f>D70/D69*100</f>
        <v>97.31958762886597</v>
      </c>
      <c r="F70" s="1">
        <f t="shared" si="6"/>
        <v>81.66089965397923</v>
      </c>
      <c r="G70" s="1">
        <f t="shared" si="4"/>
        <v>81.66089965397923</v>
      </c>
      <c r="H70" s="44">
        <f t="shared" si="7"/>
        <v>53.00000000000003</v>
      </c>
      <c r="I70" s="44">
        <f t="shared" si="5"/>
        <v>53.00000000000003</v>
      </c>
    </row>
    <row r="71" spans="1:9" ht="18.75" thickBot="1">
      <c r="A71" s="23" t="s">
        <v>9</v>
      </c>
      <c r="B71" s="42">
        <v>61.2</v>
      </c>
      <c r="C71" s="43">
        <f>267.3-68.6-27.9+0.7</f>
        <v>171.5</v>
      </c>
      <c r="D71" s="44">
        <f>6.5</f>
        <v>6.5</v>
      </c>
      <c r="E71" s="1">
        <f>D71/D70*100</f>
        <v>2.7542372881355934</v>
      </c>
      <c r="F71" s="1">
        <f t="shared" si="6"/>
        <v>10.620915032679738</v>
      </c>
      <c r="G71" s="1">
        <f t="shared" si="4"/>
        <v>3.7900874635568513</v>
      </c>
      <c r="H71" s="44">
        <f t="shared" si="7"/>
        <v>54.7</v>
      </c>
      <c r="I71" s="44">
        <f t="shared" si="5"/>
        <v>165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2562.9</v>
      </c>
      <c r="C77" s="62">
        <f>10000-100-5823.7-1513.4</f>
        <v>2562.9</v>
      </c>
      <c r="D77" s="63"/>
      <c r="E77" s="41"/>
      <c r="F77" s="41"/>
      <c r="G77" s="41"/>
      <c r="H77" s="63">
        <f>B77-D77</f>
        <v>2562.9</v>
      </c>
      <c r="I77" s="63">
        <f t="shared" si="5"/>
        <v>2562.9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0"/>
    </row>
    <row r="79" spans="1:9" ht="18.75" customHeight="1" hidden="1" thickBot="1">
      <c r="A79" s="13" t="s">
        <v>58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81452.5</v>
      </c>
      <c r="C90" s="46">
        <f>157960+265+0.3</f>
        <v>158225.3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+69.3+21.8+23.3+4+47.2+982.2</f>
        <v>38380.200000000004</v>
      </c>
      <c r="E90" s="3">
        <f>D90/D151*100</f>
        <v>5.412700006543719</v>
      </c>
      <c r="F90" s="3">
        <f aca="true" t="shared" si="10" ref="F90:F96">D90/B90*100</f>
        <v>47.11973235935055</v>
      </c>
      <c r="G90" s="3">
        <f t="shared" si="8"/>
        <v>24.256677029526887</v>
      </c>
      <c r="H90" s="47">
        <f aca="true" t="shared" si="11" ref="H90:H96">B90-D90</f>
        <v>43072.299999999996</v>
      </c>
      <c r="I90" s="47">
        <f t="shared" si="9"/>
        <v>119845.09999999998</v>
      </c>
    </row>
    <row r="91" spans="1:9" ht="18">
      <c r="A91" s="23" t="s">
        <v>3</v>
      </c>
      <c r="B91" s="42">
        <v>74944.9</v>
      </c>
      <c r="C91" s="43">
        <f>148246.2-137.7-228.3</f>
        <v>147880.2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</f>
        <v>34794.00000000001</v>
      </c>
      <c r="E91" s="1">
        <f>D91/D90*100</f>
        <v>90.65611956164898</v>
      </c>
      <c r="F91" s="1">
        <f t="shared" si="10"/>
        <v>46.42610771380042</v>
      </c>
      <c r="G91" s="1">
        <f t="shared" si="8"/>
        <v>23.528504830261255</v>
      </c>
      <c r="H91" s="44">
        <f t="shared" si="11"/>
        <v>40150.89999999999</v>
      </c>
      <c r="I91" s="44">
        <f t="shared" si="9"/>
        <v>113086.20000000001</v>
      </c>
    </row>
    <row r="92" spans="1:9" ht="18">
      <c r="A92" s="23" t="s">
        <v>26</v>
      </c>
      <c r="B92" s="42">
        <v>1667.3</v>
      </c>
      <c r="C92" s="43">
        <v>2620.6</v>
      </c>
      <c r="D92" s="44">
        <f>48.5+5.1+5+1.3+22.8+67.3+62.7+3.5+1.4+40.6+112.7+571.4+55.5+1.7+2.4+3.1+83.6+0.9+1.4+3.5+0.9+23.5+44.4+1</f>
        <v>1164.2000000000003</v>
      </c>
      <c r="E92" s="1">
        <f>D92/D90*100</f>
        <v>3.0333348966394134</v>
      </c>
      <c r="F92" s="1">
        <f t="shared" si="10"/>
        <v>69.82546632279735</v>
      </c>
      <c r="G92" s="1">
        <f t="shared" si="8"/>
        <v>44.42494085323973</v>
      </c>
      <c r="H92" s="44">
        <f t="shared" si="11"/>
        <v>503.0999999999997</v>
      </c>
      <c r="I92" s="44">
        <f t="shared" si="9"/>
        <v>1456.3999999999996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4840.300000000006</v>
      </c>
      <c r="C94" s="43">
        <f>C90-C91-C92-C93</f>
        <v>7724.499999999976</v>
      </c>
      <c r="D94" s="43">
        <f>D90-D91-D92-D93</f>
        <v>2421.999999999997</v>
      </c>
      <c r="E94" s="1">
        <f>D94/D90*100</f>
        <v>6.310545541711603</v>
      </c>
      <c r="F94" s="1">
        <f t="shared" si="10"/>
        <v>50.03822077143967</v>
      </c>
      <c r="G94" s="1">
        <f>D94/C94*100</f>
        <v>31.354780244676085</v>
      </c>
      <c r="H94" s="44">
        <f t="shared" si="11"/>
        <v>2418.300000000009</v>
      </c>
      <c r="I94" s="44">
        <f>C94-D94</f>
        <v>5302.49999999998</v>
      </c>
    </row>
    <row r="95" spans="1:9" ht="18.75">
      <c r="A95" s="108" t="s">
        <v>12</v>
      </c>
      <c r="B95" s="128">
        <v>33869.5</v>
      </c>
      <c r="C95" s="112">
        <f>59880.5+5316.8</f>
        <v>65197.3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</f>
        <v>26872.4</v>
      </c>
      <c r="E95" s="107">
        <f>D95/D151*100</f>
        <v>3.789772842659638</v>
      </c>
      <c r="F95" s="110">
        <f t="shared" si="10"/>
        <v>79.34100001476256</v>
      </c>
      <c r="G95" s="106">
        <f>D95/C95*100</f>
        <v>41.21704426410297</v>
      </c>
      <c r="H95" s="111">
        <f t="shared" si="11"/>
        <v>6997.0999999999985</v>
      </c>
      <c r="I95" s="121">
        <f>C95-D95</f>
        <v>38324.9</v>
      </c>
    </row>
    <row r="96" spans="1:9" ht="18.75" thickBot="1">
      <c r="A96" s="109" t="s">
        <v>85</v>
      </c>
      <c r="B96" s="113">
        <v>5207.9</v>
      </c>
      <c r="C96" s="114">
        <f>10660.3-133.5</f>
        <v>10526.8</v>
      </c>
      <c r="D96" s="115">
        <f>69.1+1043.7+68.3+1051.8+1+68.3+66.1+938.4+3+68.7+11.3+4.3+734+67.7+6.3+0.4</f>
        <v>4202.4</v>
      </c>
      <c r="E96" s="116">
        <f>D96/D95*100</f>
        <v>15.63835012875664</v>
      </c>
      <c r="F96" s="117">
        <f t="shared" si="10"/>
        <v>80.69279364043088</v>
      </c>
      <c r="G96" s="118">
        <f>D96/C96*100</f>
        <v>39.920963635672756</v>
      </c>
      <c r="H96" s="122">
        <f t="shared" si="11"/>
        <v>1005.5</v>
      </c>
      <c r="I96" s="123">
        <f>C96-D96</f>
        <v>6324.4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</row>
    <row r="102" spans="1:9" s="37" customFormat="1" ht="19.5" thickBot="1">
      <c r="A102" s="13" t="s">
        <v>11</v>
      </c>
      <c r="B102" s="127">
        <v>7383.4</v>
      </c>
      <c r="C102" s="92">
        <f>12999.2-348+46.7-53.7+124.7-124.6</f>
        <v>12644.300000000001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139.4+4+202+15.3+32.9+18.1+0.4+4+39.7+141.6+9.9+31.3+27.6+1.1+399+127.2+7.6+63.2+113+70.6+140+195.7+6.2+179.8+200.1+39.2+404.4+43.9+5.5+14.3+123.2+146.6+30.6+5+8.3+5+134.6+84.2+7.5+24+0.1+12.8+4.1+20+155.6+28+34.9+33.6+66.7+51.2+8+27.4+19.4-0.1+38.6+147.1</f>
        <v>3893.399999999999</v>
      </c>
      <c r="E102" s="19">
        <f>D102/D151*100</f>
        <v>0.5490801560564382</v>
      </c>
      <c r="F102" s="19">
        <f>D102/B102*100</f>
        <v>52.731803776038134</v>
      </c>
      <c r="G102" s="19">
        <f aca="true" t="shared" si="12" ref="G102:G149">D102/C102*100</f>
        <v>30.791740151688895</v>
      </c>
      <c r="H102" s="79">
        <f aca="true" t="shared" si="13" ref="H102:H107">B102-D102</f>
        <v>3490.0000000000005</v>
      </c>
      <c r="I102" s="79">
        <f aca="true" t="shared" si="14" ref="I102:I149">C102-D102</f>
        <v>8750.900000000001</v>
      </c>
    </row>
    <row r="103" spans="1:9" ht="18">
      <c r="A103" s="23" t="s">
        <v>3</v>
      </c>
      <c r="B103" s="89">
        <v>145.5</v>
      </c>
      <c r="C103" s="87">
        <v>259.1</v>
      </c>
      <c r="D103" s="87">
        <f>17.3+10+11+0.1+10.9+18.9+0.1+11</f>
        <v>79.29999999999998</v>
      </c>
      <c r="E103" s="83">
        <f>D103/D102*100</f>
        <v>2.036780192119998</v>
      </c>
      <c r="F103" s="1">
        <f>D103/B103*100</f>
        <v>54.5017182130584</v>
      </c>
      <c r="G103" s="83">
        <f>D103/C103*100</f>
        <v>30.605943651099953</v>
      </c>
      <c r="H103" s="87">
        <f t="shared" si="13"/>
        <v>66.20000000000002</v>
      </c>
      <c r="I103" s="87">
        <f t="shared" si="14"/>
        <v>179.80000000000004</v>
      </c>
    </row>
    <row r="104" spans="1:9" ht="18">
      <c r="A104" s="85" t="s">
        <v>49</v>
      </c>
      <c r="B104" s="74">
        <v>6171</v>
      </c>
      <c r="C104" s="44">
        <f>10720.8-348+46.7-56.3+125.1-124.6</f>
        <v>10363.7</v>
      </c>
      <c r="D104" s="44">
        <f>139.3+4+202+15.3-0.1+4+25.4+141.4+9.8+31.2+1.1+390.1+50+2+0.1+51.6+111.9+69.9+132+193.8+143.3+175.1+39.1+393+24.9+117+131.2+30.6+5+5+134.6+137.3+5+34.9+31.2+66.7+136.1</f>
        <v>3184.7999999999997</v>
      </c>
      <c r="E104" s="1">
        <f>D104/D102*100</f>
        <v>81.79996917860997</v>
      </c>
      <c r="F104" s="1">
        <f aca="true" t="shared" si="15" ref="F104:F149">D104/B104*100</f>
        <v>51.609139523578015</v>
      </c>
      <c r="G104" s="1">
        <f t="shared" si="12"/>
        <v>30.730337620733906</v>
      </c>
      <c r="H104" s="44">
        <f t="shared" si="13"/>
        <v>2986.2000000000003</v>
      </c>
      <c r="I104" s="44">
        <f t="shared" si="14"/>
        <v>7178.9000000000015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</row>
    <row r="106" spans="1:9" ht="18.75" thickBot="1">
      <c r="A106" s="86" t="s">
        <v>28</v>
      </c>
      <c r="B106" s="88">
        <f>B102-B103-B104</f>
        <v>1066.8999999999996</v>
      </c>
      <c r="C106" s="88">
        <f>C102-C103-C104</f>
        <v>2021.5</v>
      </c>
      <c r="D106" s="88">
        <f>D102-D103-D104</f>
        <v>629.2999999999993</v>
      </c>
      <c r="E106" s="84">
        <f>D106/D102*100</f>
        <v>16.16325062927003</v>
      </c>
      <c r="F106" s="84">
        <f t="shared" si="15"/>
        <v>58.98397225606894</v>
      </c>
      <c r="G106" s="84">
        <f t="shared" si="12"/>
        <v>31.130348750927496</v>
      </c>
      <c r="H106" s="123">
        <f>B106-D106</f>
        <v>437.60000000000036</v>
      </c>
      <c r="I106" s="123">
        <f t="shared" si="14"/>
        <v>1392.2000000000007</v>
      </c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160290.1</v>
      </c>
      <c r="C107" s="81">
        <f>SUM(C108:C148)-C115-C119+C149-C140-C141-C109-C112-C122-C123-C138-C131-C129-C136</f>
        <v>535627.7999999999</v>
      </c>
      <c r="D107" s="81">
        <f>SUM(D108:D148)-D115-D119+D149-D140-D141-D109-D112-D122-D123-D138-D131-D129-D136</f>
        <v>139534.4</v>
      </c>
      <c r="E107" s="82">
        <f>D107/D151*100</f>
        <v>19.678319753234057</v>
      </c>
      <c r="F107" s="82">
        <f>D107/B107*100</f>
        <v>87.05116535581423</v>
      </c>
      <c r="G107" s="82">
        <f t="shared" si="12"/>
        <v>26.050626946547585</v>
      </c>
      <c r="H107" s="81">
        <f t="shared" si="13"/>
        <v>20755.70000000001</v>
      </c>
      <c r="I107" s="81">
        <f t="shared" si="14"/>
        <v>396093.3999999999</v>
      </c>
    </row>
    <row r="108" spans="1:9" ht="37.5">
      <c r="A108" s="28" t="s">
        <v>53</v>
      </c>
      <c r="B108" s="71">
        <v>2239.3</v>
      </c>
      <c r="C108" s="67">
        <v>4095.6</v>
      </c>
      <c r="D108" s="72">
        <f>12.6+3.2+110.8+149.9+0.1+86+66+19.9+30.9+1.3+4.4+3.9+8.5+1.6+0.1+167.2+12.2+0.7+2+1.4+0.1+115.6+14.7+10.7+8.1+0.6+3.1+4.1+2.8-0.2+122.3+40.3</f>
        <v>1004.9000000000001</v>
      </c>
      <c r="E108" s="6">
        <f>D108/D107*100</f>
        <v>0.7201808299602107</v>
      </c>
      <c r="F108" s="6">
        <f t="shared" si="15"/>
        <v>44.87563077747511</v>
      </c>
      <c r="G108" s="6">
        <f t="shared" si="12"/>
        <v>24.53608750854576</v>
      </c>
      <c r="H108" s="61">
        <f aca="true" t="shared" si="16" ref="H108:H149">B108-D108</f>
        <v>1234.4</v>
      </c>
      <c r="I108" s="61">
        <f t="shared" si="14"/>
        <v>3090.7</v>
      </c>
    </row>
    <row r="109" spans="1:9" ht="18">
      <c r="A109" s="23" t="s">
        <v>26</v>
      </c>
      <c r="B109" s="74">
        <v>1461.8</v>
      </c>
      <c r="C109" s="44">
        <v>2633.8</v>
      </c>
      <c r="D109" s="75">
        <f>68.3+138.7+47.8+60.9+18.1+30+81.4+40.6+14.7+2.7+31.2</f>
        <v>534.4000000000001</v>
      </c>
      <c r="E109" s="1">
        <f>D109/D108*100</f>
        <v>53.17942083789432</v>
      </c>
      <c r="F109" s="1">
        <f t="shared" si="15"/>
        <v>36.55766862771926</v>
      </c>
      <c r="G109" s="1">
        <f t="shared" si="12"/>
        <v>20.290075176550992</v>
      </c>
      <c r="H109" s="44">
        <f t="shared" si="16"/>
        <v>927.3999999999999</v>
      </c>
      <c r="I109" s="44">
        <f t="shared" si="14"/>
        <v>2099.4</v>
      </c>
    </row>
    <row r="110" spans="1:9" ht="34.5" customHeight="1">
      <c r="A110" s="16" t="s">
        <v>80</v>
      </c>
      <c r="B110" s="73">
        <v>666.6</v>
      </c>
      <c r="C110" s="61">
        <v>1175.4</v>
      </c>
      <c r="D110" s="72">
        <f>11.8+87.5+28+44.4</f>
        <v>171.7</v>
      </c>
      <c r="E110" s="6">
        <f>D110/D107*100</f>
        <v>0.12305209324725659</v>
      </c>
      <c r="F110" s="6">
        <f>D110/B110*100</f>
        <v>25.757575757575758</v>
      </c>
      <c r="G110" s="6">
        <f t="shared" si="12"/>
        <v>14.607793091713459</v>
      </c>
      <c r="H110" s="61">
        <f t="shared" si="16"/>
        <v>494.90000000000003</v>
      </c>
      <c r="I110" s="61">
        <f t="shared" si="14"/>
        <v>1003.7</v>
      </c>
    </row>
    <row r="111" spans="1:9" s="37" customFormat="1" ht="34.5" customHeight="1">
      <c r="A111" s="16" t="s">
        <v>99</v>
      </c>
      <c r="B111" s="73">
        <v>36.6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36.6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94</v>
      </c>
      <c r="B113" s="73">
        <v>53.6</v>
      </c>
      <c r="C113" s="61">
        <v>60</v>
      </c>
      <c r="D113" s="72">
        <f>9.1+9.1</f>
        <v>18.2</v>
      </c>
      <c r="E113" s="6">
        <f>D113/D107*100</f>
        <v>0.013043378550378976</v>
      </c>
      <c r="F113" s="6">
        <f t="shared" si="15"/>
        <v>33.95522388059701</v>
      </c>
      <c r="G113" s="6">
        <f t="shared" si="12"/>
        <v>30.333333333333336</v>
      </c>
      <c r="H113" s="61">
        <f t="shared" si="16"/>
        <v>35.400000000000006</v>
      </c>
      <c r="I113" s="61">
        <f t="shared" si="14"/>
        <v>41.8</v>
      </c>
    </row>
    <row r="114" spans="1:9" ht="37.5">
      <c r="A114" s="16" t="s">
        <v>39</v>
      </c>
      <c r="B114" s="73">
        <v>1553.5</v>
      </c>
      <c r="C114" s="61">
        <v>2915.4</v>
      </c>
      <c r="D114" s="72">
        <f>136.4+40+10+2+0.1+10.6+142+54.3+10.6+6.6+21.9+41.3+8.2+239.5+0.2+6.2+0.7+26.9+145.7+54.9+4+2+1.1+3.5+2.2+195.9+3.8</f>
        <v>1170.6000000000001</v>
      </c>
      <c r="E114" s="6">
        <f>D114/D107*100</f>
        <v>0.8389329083007488</v>
      </c>
      <c r="F114" s="6">
        <f t="shared" si="15"/>
        <v>75.35242999678147</v>
      </c>
      <c r="G114" s="6">
        <f t="shared" si="12"/>
        <v>40.15229471084585</v>
      </c>
      <c r="H114" s="61">
        <f t="shared" si="16"/>
        <v>382.89999999999986</v>
      </c>
      <c r="I114" s="61">
        <f t="shared" si="14"/>
        <v>1744.8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95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99</v>
      </c>
      <c r="C117" s="61">
        <f>99+100</f>
        <v>199</v>
      </c>
      <c r="D117" s="72"/>
      <c r="E117" s="6">
        <f>D117/D107*100</f>
        <v>0</v>
      </c>
      <c r="F117" s="124">
        <f>D117/B117*100</f>
        <v>0</v>
      </c>
      <c r="G117" s="6">
        <f t="shared" si="12"/>
        <v>0</v>
      </c>
      <c r="H117" s="61">
        <f t="shared" si="16"/>
        <v>99</v>
      </c>
      <c r="I117" s="61">
        <f t="shared" si="14"/>
        <v>199</v>
      </c>
    </row>
    <row r="118" spans="1:9" s="2" customFormat="1" ht="18.75">
      <c r="A118" s="16" t="s">
        <v>15</v>
      </c>
      <c r="B118" s="73">
        <v>232.1</v>
      </c>
      <c r="C118" s="53">
        <v>422.8</v>
      </c>
      <c r="D118" s="72">
        <f>39+5+6.2+39.1+4.9+0.4+0.8+39+0.1+5.5+0.9+39+4.8+1.3+39-0.1+0.8+0.4+5</f>
        <v>231.10000000000008</v>
      </c>
      <c r="E118" s="6">
        <f>D118/D107*100</f>
        <v>0.16562224082376825</v>
      </c>
      <c r="F118" s="6">
        <f t="shared" si="15"/>
        <v>99.56915122791904</v>
      </c>
      <c r="G118" s="6">
        <f t="shared" si="12"/>
        <v>54.65941343424788</v>
      </c>
      <c r="H118" s="61">
        <f t="shared" si="16"/>
        <v>0.9999999999999147</v>
      </c>
      <c r="I118" s="61">
        <f t="shared" si="14"/>
        <v>191.69999999999993</v>
      </c>
    </row>
    <row r="119" spans="1:9" s="32" customFormat="1" ht="18">
      <c r="A119" s="33" t="s">
        <v>44</v>
      </c>
      <c r="B119" s="74">
        <v>195.2</v>
      </c>
      <c r="C119" s="44">
        <v>351.4</v>
      </c>
      <c r="D119" s="75">
        <f>39+39.1+39+39.1+39</f>
        <v>195.2</v>
      </c>
      <c r="E119" s="1">
        <f>D119/D118*100</f>
        <v>84.46559930765899</v>
      </c>
      <c r="F119" s="1">
        <f t="shared" si="15"/>
        <v>100</v>
      </c>
      <c r="G119" s="1">
        <f t="shared" si="12"/>
        <v>55.54923164484917</v>
      </c>
      <c r="H119" s="44">
        <f t="shared" si="16"/>
        <v>0</v>
      </c>
      <c r="I119" s="44">
        <f t="shared" si="14"/>
        <v>156.2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100</v>
      </c>
      <c r="B121" s="73">
        <v>455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455</v>
      </c>
      <c r="I121" s="61">
        <f t="shared" si="14"/>
        <v>520</v>
      </c>
    </row>
    <row r="122" spans="1:9" s="102" customFormat="1" ht="18" hidden="1">
      <c r="A122" s="23" t="s">
        <v>82</v>
      </c>
      <c r="B122" s="74"/>
      <c r="C122" s="44"/>
      <c r="D122" s="75"/>
      <c r="E122" s="6"/>
      <c r="F122" s="103" t="e">
        <f>D122/B122*100</f>
        <v>#DIV/0!</v>
      </c>
      <c r="G122" s="1" t="e">
        <f t="shared" si="12"/>
        <v>#DIV/0!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101</v>
      </c>
      <c r="B124" s="73">
        <v>20236.6</v>
      </c>
      <c r="C124" s="53">
        <f>33585.8+9933.2</f>
        <v>43519</v>
      </c>
      <c r="D124" s="76">
        <f>3483.8+2635.6+1853.3+812.9+1333.3+1694.1+1722.4+661.9+934+1328+225</f>
        <v>16684.3</v>
      </c>
      <c r="E124" s="17">
        <f>D124/D107*100</f>
        <v>11.957123118026809</v>
      </c>
      <c r="F124" s="6">
        <f t="shared" si="15"/>
        <v>82.44616190466778</v>
      </c>
      <c r="G124" s="6">
        <f t="shared" si="12"/>
        <v>38.337967324616834</v>
      </c>
      <c r="H124" s="61">
        <f t="shared" si="16"/>
        <v>3552.2999999999993</v>
      </c>
      <c r="I124" s="61">
        <f t="shared" si="14"/>
        <v>26834.7</v>
      </c>
    </row>
    <row r="125" spans="1:9" s="2" customFormat="1" ht="18.75">
      <c r="A125" s="16" t="s">
        <v>96</v>
      </c>
      <c r="B125" s="73">
        <v>695</v>
      </c>
      <c r="C125" s="53">
        <f>585+110</f>
        <v>695</v>
      </c>
      <c r="D125" s="76">
        <f>10+6</f>
        <v>16</v>
      </c>
      <c r="E125" s="17">
        <f>D125/D107*100</f>
        <v>0.011466706417915582</v>
      </c>
      <c r="F125" s="6">
        <f t="shared" si="15"/>
        <v>2.302158273381295</v>
      </c>
      <c r="G125" s="6">
        <f t="shared" si="12"/>
        <v>2.302158273381295</v>
      </c>
      <c r="H125" s="61">
        <f t="shared" si="16"/>
        <v>679</v>
      </c>
      <c r="I125" s="61">
        <f t="shared" si="14"/>
        <v>679</v>
      </c>
    </row>
    <row r="126" spans="1:9" s="2" customFormat="1" ht="37.5">
      <c r="A126" s="16" t="s">
        <v>107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</row>
    <row r="127" spans="1:9" s="2" customFormat="1" ht="37.5">
      <c r="A127" s="16" t="s">
        <v>87</v>
      </c>
      <c r="B127" s="73">
        <v>45.8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45.8</v>
      </c>
      <c r="I127" s="61">
        <f t="shared" si="14"/>
        <v>81.6</v>
      </c>
    </row>
    <row r="128" spans="1:9" s="2" customFormat="1" ht="37.5">
      <c r="A128" s="16" t="s">
        <v>59</v>
      </c>
      <c r="B128" s="73">
        <v>688.7</v>
      </c>
      <c r="C128" s="53">
        <v>1253.3</v>
      </c>
      <c r="D128" s="76">
        <f>6.5+6.7+0.9+10.2+6.4+2.4+29+2.5+26.7+1.1+7.5+20.9+3.3+0.1+0.1+0.6+54.3+6.4+19+0.1+6.4-0.1+0.9+1+0.1</f>
        <v>212.99999999999997</v>
      </c>
      <c r="E128" s="17">
        <f>D128/D107*100</f>
        <v>0.15265052918850117</v>
      </c>
      <c r="F128" s="6">
        <f t="shared" si="15"/>
        <v>30.92783505154639</v>
      </c>
      <c r="G128" s="6">
        <f t="shared" si="12"/>
        <v>16.995132849277905</v>
      </c>
      <c r="H128" s="61">
        <f t="shared" si="16"/>
        <v>475.70000000000005</v>
      </c>
      <c r="I128" s="61">
        <f t="shared" si="14"/>
        <v>1040.3</v>
      </c>
    </row>
    <row r="129" spans="1:9" s="32" customFormat="1" ht="18">
      <c r="A129" s="23" t="s">
        <v>90</v>
      </c>
      <c r="B129" s="74">
        <v>219.2</v>
      </c>
      <c r="C129" s="44">
        <v>459.6</v>
      </c>
      <c r="D129" s="75">
        <f>6.4+6.4+6.4+6.4+6.4</f>
        <v>32</v>
      </c>
      <c r="E129" s="1">
        <f>D129/D128*100</f>
        <v>15.02347417840376</v>
      </c>
      <c r="F129" s="1">
        <f>D129/B129*100</f>
        <v>14.598540145985403</v>
      </c>
      <c r="G129" s="1">
        <f t="shared" si="12"/>
        <v>6.962576153176675</v>
      </c>
      <c r="H129" s="44">
        <f t="shared" si="16"/>
        <v>187.2</v>
      </c>
      <c r="I129" s="44">
        <f t="shared" si="14"/>
        <v>427.6</v>
      </c>
    </row>
    <row r="130" spans="1:9" s="2" customFormat="1" ht="37.5" hidden="1">
      <c r="A130" s="16" t="s">
        <v>97</v>
      </c>
      <c r="B130" s="73"/>
      <c r="C130" s="53"/>
      <c r="D130" s="76"/>
      <c r="E130" s="17">
        <f>D130/D107*100</f>
        <v>0</v>
      </c>
      <c r="F130" s="124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89</v>
      </c>
      <c r="B134" s="73">
        <v>34.1</v>
      </c>
      <c r="C134" s="53">
        <v>108.1</v>
      </c>
      <c r="D134" s="76">
        <f>3.8+10.3+1.3</f>
        <v>15.400000000000002</v>
      </c>
      <c r="E134" s="17">
        <f>D134/D107*100</f>
        <v>0.01103670492724375</v>
      </c>
      <c r="F134" s="6">
        <f t="shared" si="15"/>
        <v>45.16129032258065</v>
      </c>
      <c r="G134" s="6">
        <f t="shared" si="12"/>
        <v>14.246068455134136</v>
      </c>
      <c r="H134" s="61">
        <f t="shared" si="16"/>
        <v>18.7</v>
      </c>
      <c r="I134" s="61">
        <f t="shared" si="14"/>
        <v>92.69999999999999</v>
      </c>
    </row>
    <row r="135" spans="1:9" s="2" customFormat="1" ht="39" customHeight="1">
      <c r="A135" s="16" t="s">
        <v>56</v>
      </c>
      <c r="B135" s="73">
        <v>232</v>
      </c>
      <c r="C135" s="53">
        <v>626.8</v>
      </c>
      <c r="D135" s="76">
        <f>1.2</f>
        <v>1.2</v>
      </c>
      <c r="E135" s="17">
        <f>D135/D107*100</f>
        <v>0.0008600029813436687</v>
      </c>
      <c r="F135" s="6">
        <f t="shared" si="15"/>
        <v>0.5172413793103449</v>
      </c>
      <c r="G135" s="6">
        <f t="shared" si="12"/>
        <v>0.1914486279514997</v>
      </c>
      <c r="H135" s="61">
        <f t="shared" si="16"/>
        <v>230.8</v>
      </c>
      <c r="I135" s="61">
        <f t="shared" si="14"/>
        <v>625.5999999999999</v>
      </c>
    </row>
    <row r="136" spans="1:9" s="32" customFormat="1" ht="18">
      <c r="A136" s="23" t="s">
        <v>90</v>
      </c>
      <c r="B136" s="74">
        <v>135</v>
      </c>
      <c r="C136" s="44">
        <v>400</v>
      </c>
      <c r="D136" s="75">
        <f>1.2</f>
        <v>1.2</v>
      </c>
      <c r="E136" s="1"/>
      <c r="F136" s="6">
        <f>D136/B136*100</f>
        <v>0.8888888888888888</v>
      </c>
      <c r="G136" s="1">
        <f>D136/C136*100</f>
        <v>0.3</v>
      </c>
      <c r="H136" s="44">
        <f>B136-D136</f>
        <v>133.8</v>
      </c>
      <c r="I136" s="44">
        <f>C136-D136</f>
        <v>398.8</v>
      </c>
    </row>
    <row r="137" spans="1:9" s="2" customFormat="1" ht="37.5">
      <c r="A137" s="16" t="s">
        <v>86</v>
      </c>
      <c r="B137" s="73">
        <v>226.7</v>
      </c>
      <c r="C137" s="53">
        <v>381.2</v>
      </c>
      <c r="D137" s="76">
        <f>0.5+1.3+15.9+33.5+3+0.6+15.2+1.3+36.5+1.9+0.3+0.3+0.6+5+2+16.5+0.1+0.5+1.2+18.6-0.1+0.3</f>
        <v>154.99999999999997</v>
      </c>
      <c r="E137" s="17">
        <f>D137/D107*100</f>
        <v>0.11108371842355719</v>
      </c>
      <c r="F137" s="6">
        <f t="shared" si="15"/>
        <v>68.37229819144243</v>
      </c>
      <c r="G137" s="6">
        <f>D137/C137*100</f>
        <v>40.6610703043022</v>
      </c>
      <c r="H137" s="61">
        <f t="shared" si="16"/>
        <v>71.70000000000002</v>
      </c>
      <c r="I137" s="61">
        <f t="shared" si="14"/>
        <v>226.20000000000002</v>
      </c>
    </row>
    <row r="138" spans="1:9" s="32" customFormat="1" ht="18">
      <c r="A138" s="23" t="s">
        <v>26</v>
      </c>
      <c r="B138" s="74">
        <v>184.9</v>
      </c>
      <c r="C138" s="44">
        <v>306.1</v>
      </c>
      <c r="D138" s="75">
        <f>15.9+33.5+15.2+36.5+0.3+4.6+16.5-0.1+1.2+16+0.3</f>
        <v>139.9</v>
      </c>
      <c r="E138" s="1">
        <f>D138/D137*100</f>
        <v>90.25806451612905</v>
      </c>
      <c r="F138" s="1">
        <f t="shared" si="15"/>
        <v>75.6625202812331</v>
      </c>
      <c r="G138" s="1">
        <f>D138/C138*100</f>
        <v>45.70401829467494</v>
      </c>
      <c r="H138" s="44">
        <f t="shared" si="16"/>
        <v>45</v>
      </c>
      <c r="I138" s="44">
        <f t="shared" si="14"/>
        <v>166.20000000000002</v>
      </c>
    </row>
    <row r="139" spans="1:9" s="2" customFormat="1" ht="18.75">
      <c r="A139" s="16" t="s">
        <v>102</v>
      </c>
      <c r="B139" s="73">
        <v>750.1</v>
      </c>
      <c r="C139" s="53">
        <f>1397.4+115.2</f>
        <v>1512.6000000000001</v>
      </c>
      <c r="D139" s="76">
        <f>26+59.9+0.4-0.1+0.1+27.3+5.8+57.7+6.3+46.3+13.6+50.5+6-0.1+43.3+3.1+0.2+52.2+16.7+42.4+4.7+8+55+5.3</f>
        <v>530.5999999999999</v>
      </c>
      <c r="E139" s="17">
        <f>D139/D107*100</f>
        <v>0.3802646515841254</v>
      </c>
      <c r="F139" s="6">
        <f t="shared" si="15"/>
        <v>70.73723503532861</v>
      </c>
      <c r="G139" s="6">
        <f t="shared" si="12"/>
        <v>35.07867248446383</v>
      </c>
      <c r="H139" s="61">
        <f t="shared" si="16"/>
        <v>219.5000000000001</v>
      </c>
      <c r="I139" s="61">
        <f t="shared" si="14"/>
        <v>982.0000000000002</v>
      </c>
    </row>
    <row r="140" spans="1:9" s="32" customFormat="1" ht="18">
      <c r="A140" s="33" t="s">
        <v>44</v>
      </c>
      <c r="B140" s="74">
        <v>559.4</v>
      </c>
      <c r="C140" s="44">
        <f>1063.5+115.2</f>
        <v>1178.7</v>
      </c>
      <c r="D140" s="75">
        <f>26+59.9+27.3+57.1-0.1+46.3+42.7-0.1+36.4+51.8+8.5+28+53.1+4.3</f>
        <v>441.2</v>
      </c>
      <c r="E140" s="1">
        <f>D140/D139*100</f>
        <v>83.15114964191483</v>
      </c>
      <c r="F140" s="1">
        <f aca="true" t="shared" si="17" ref="F140:F148">D140/B140*100</f>
        <v>78.87021809081159</v>
      </c>
      <c r="G140" s="1">
        <f t="shared" si="12"/>
        <v>37.43106812590141</v>
      </c>
      <c r="H140" s="44">
        <f t="shared" si="16"/>
        <v>118.19999999999999</v>
      </c>
      <c r="I140" s="44">
        <f t="shared" si="14"/>
        <v>737.5</v>
      </c>
    </row>
    <row r="141" spans="1:9" s="32" customFormat="1" ht="18">
      <c r="A141" s="23" t="s">
        <v>26</v>
      </c>
      <c r="B141" s="74">
        <v>24.3</v>
      </c>
      <c r="C141" s="44">
        <v>37.5</v>
      </c>
      <c r="D141" s="75">
        <f>0.4+5.6+0.6+6+0.1+3.7+0.1+0.4+1</f>
        <v>17.9</v>
      </c>
      <c r="E141" s="1">
        <f>D141/D139*100</f>
        <v>3.3735393893705243</v>
      </c>
      <c r="F141" s="1">
        <f t="shared" si="17"/>
        <v>73.66255144032921</v>
      </c>
      <c r="G141" s="1">
        <f>D141/C141*100</f>
        <v>47.73333333333333</v>
      </c>
      <c r="H141" s="44">
        <f t="shared" si="16"/>
        <v>6.400000000000002</v>
      </c>
      <c r="I141" s="44">
        <f t="shared" si="14"/>
        <v>19.6</v>
      </c>
    </row>
    <row r="142" spans="1:9" s="2" customFormat="1" ht="56.25">
      <c r="A142" s="18" t="s">
        <v>106</v>
      </c>
      <c r="B142" s="73">
        <v>300</v>
      </c>
      <c r="C142" s="53">
        <f>200+300</f>
        <v>500</v>
      </c>
      <c r="D142" s="76">
        <f>300</f>
        <v>300</v>
      </c>
      <c r="E142" s="17">
        <f>D142/D107*100</f>
        <v>0.21500074533591715</v>
      </c>
      <c r="F142" s="99">
        <f t="shared" si="17"/>
        <v>100</v>
      </c>
      <c r="G142" s="6">
        <f t="shared" si="12"/>
        <v>60</v>
      </c>
      <c r="H142" s="61">
        <f t="shared" si="16"/>
        <v>0</v>
      </c>
      <c r="I142" s="61">
        <f t="shared" si="14"/>
        <v>200</v>
      </c>
    </row>
    <row r="143" spans="1:9" s="2" customFormat="1" ht="18.75" hidden="1">
      <c r="A143" s="18" t="s">
        <v>98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9" s="2" customFormat="1" ht="18.75">
      <c r="A144" s="18" t="s">
        <v>103</v>
      </c>
      <c r="B144" s="73">
        <f>26585.6-1091.4-108.4</f>
        <v>25385.799999999996</v>
      </c>
      <c r="C144" s="53">
        <f>67967+150-2500-1878</f>
        <v>63739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2189.1+2579.7+68.9+525.7+232.8+205.1+14+182+44.6+100.3+189.9+11.2+127+188.8+69.4+131.7+84.3+48.1+145.2+164.4+282.5+2057+0.1+4.7+884.5+257+126.5+89.5+69.2+64+1270.4+177.7+6.2+77.9+311.3-0.1+187.5+243.6+833.7+134.4+194.7+0.6+250.6-0.1+141.2+292.3+801.4</f>
        <v>16060.500000000002</v>
      </c>
      <c r="E144" s="17">
        <f>D144/D107*100</f>
        <v>11.510064901558327</v>
      </c>
      <c r="F144" s="99">
        <f t="shared" si="17"/>
        <v>63.265683965051345</v>
      </c>
      <c r="G144" s="6">
        <f t="shared" si="12"/>
        <v>25.197288943974648</v>
      </c>
      <c r="H144" s="61">
        <f t="shared" si="16"/>
        <v>9325.299999999994</v>
      </c>
      <c r="I144" s="61">
        <f t="shared" si="14"/>
        <v>47678.5</v>
      </c>
    </row>
    <row r="145" spans="1:9" s="2" customFormat="1" ht="18.75" hidden="1">
      <c r="A145" s="18" t="s">
        <v>88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104</v>
      </c>
      <c r="B146" s="73">
        <v>125.3</v>
      </c>
      <c r="C146" s="53">
        <v>234</v>
      </c>
      <c r="D146" s="76">
        <f>19.2+57.1</f>
        <v>76.3</v>
      </c>
      <c r="E146" s="17">
        <f>D146/D107*100</f>
        <v>0.054681856230434936</v>
      </c>
      <c r="F146" s="99">
        <f t="shared" si="17"/>
        <v>60.893854748603346</v>
      </c>
      <c r="G146" s="6">
        <f t="shared" si="12"/>
        <v>32.60683760683761</v>
      </c>
      <c r="H146" s="61">
        <f t="shared" si="16"/>
        <v>49</v>
      </c>
      <c r="I146" s="61">
        <f t="shared" si="14"/>
        <v>157.7</v>
      </c>
    </row>
    <row r="147" spans="1:12" s="2" customFormat="1" ht="18.75" customHeight="1">
      <c r="A147" s="16" t="s">
        <v>79</v>
      </c>
      <c r="B147" s="73">
        <v>6025</v>
      </c>
      <c r="C147" s="53">
        <v>10550.8</v>
      </c>
      <c r="D147" s="76">
        <f>1601.8+39.7+92.5+565.2+121.3+853.6+638.8+424+800.9+24.5+1.5</f>
        <v>5163.799999999999</v>
      </c>
      <c r="E147" s="17">
        <f>D147/D107*100</f>
        <v>3.7007361625520296</v>
      </c>
      <c r="F147" s="99">
        <f t="shared" si="17"/>
        <v>85.70622406639002</v>
      </c>
      <c r="G147" s="6">
        <f t="shared" si="12"/>
        <v>48.9422603025363</v>
      </c>
      <c r="H147" s="61">
        <f t="shared" si="16"/>
        <v>861.2000000000007</v>
      </c>
      <c r="I147" s="61">
        <f t="shared" si="14"/>
        <v>5387</v>
      </c>
      <c r="K147" s="38"/>
      <c r="L147" s="38"/>
    </row>
    <row r="148" spans="1:12" s="2" customFormat="1" ht="19.5" customHeight="1">
      <c r="A148" s="16" t="s">
        <v>51</v>
      </c>
      <c r="B148" s="73">
        <f>84066.9+1091.4+108.4</f>
        <v>85266.69999999998</v>
      </c>
      <c r="C148" s="53">
        <f>376354.8-1000+14285.9-198-200-300-15786.4</f>
        <v>373156.3</v>
      </c>
      <c r="D148" s="76">
        <f>69938.3+2324.7+1312.6+155+2603.6+1211+415+5415.4+691.3+550.4</f>
        <v>84617.3</v>
      </c>
      <c r="E148" s="17">
        <f>D148/D107*100</f>
        <v>60.64260856104302</v>
      </c>
      <c r="F148" s="6">
        <f t="shared" si="17"/>
        <v>99.23838966442939</v>
      </c>
      <c r="G148" s="6">
        <f t="shared" si="12"/>
        <v>22.676101140460446</v>
      </c>
      <c r="H148" s="61">
        <f t="shared" si="16"/>
        <v>649.3999999999796</v>
      </c>
      <c r="I148" s="61">
        <f t="shared" si="14"/>
        <v>288539</v>
      </c>
      <c r="K148" s="91"/>
      <c r="L148" s="38"/>
    </row>
    <row r="149" spans="1:12" s="2" customFormat="1" ht="18.75">
      <c r="A149" s="16" t="s">
        <v>105</v>
      </c>
      <c r="B149" s="73">
        <v>14742.6</v>
      </c>
      <c r="C149" s="53">
        <v>29485.2</v>
      </c>
      <c r="D149" s="76">
        <f>819+819+819.1+819+819+819.1+819+819+819.1+819+819+819.1+819.1+819+819+819</f>
        <v>13104.5</v>
      </c>
      <c r="E149" s="17">
        <f>D149/D107*100</f>
        <v>9.391590890848423</v>
      </c>
      <c r="F149" s="6">
        <f t="shared" si="15"/>
        <v>88.88866278675404</v>
      </c>
      <c r="G149" s="6">
        <f t="shared" si="12"/>
        <v>44.44433139337702</v>
      </c>
      <c r="H149" s="61">
        <f t="shared" si="16"/>
        <v>1638.1000000000004</v>
      </c>
      <c r="I149" s="61">
        <f t="shared" si="14"/>
        <v>16380.7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171756.80000000002</v>
      </c>
      <c r="C150" s="77">
        <f>C43+C69+C72+C77+C79+C87+C102+C107+C100+C84+C98</f>
        <v>553375.8999999999</v>
      </c>
      <c r="D150" s="53">
        <f>D43+D69+D72+D77+D79+D87+D102+D107+D100+D84+D98</f>
        <v>144635.3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927754.7</v>
      </c>
      <c r="C151" s="47">
        <f>C6+C18+C33+C43+C51+C59+C69+C72+C77+C79+C87+C90+C95+C102+C107+C100+C84+C98+C45</f>
        <v>1879696.9</v>
      </c>
      <c r="D151" s="47">
        <f>D6+D18+D33+D43+D51+D59+D69+D72+D77+D79+D87+D90+D95+D102+D107+D100+D84+D98+D45</f>
        <v>709076.8000000002</v>
      </c>
      <c r="E151" s="31">
        <v>100</v>
      </c>
      <c r="F151" s="3">
        <f>D151/B151*100</f>
        <v>76.42934064359902</v>
      </c>
      <c r="G151" s="3">
        <f aca="true" t="shared" si="18" ref="G151:G157">D151/C151*100</f>
        <v>37.72293288348777</v>
      </c>
      <c r="H151" s="47">
        <f aca="true" t="shared" si="19" ref="H151:H157">B151-D151</f>
        <v>218677.8999999998</v>
      </c>
      <c r="I151" s="47">
        <f aca="true" t="shared" si="20" ref="I151:I157">C151-D151</f>
        <v>1170620.0999999996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415886.8</v>
      </c>
      <c r="C152" s="60">
        <f>C8+C20+C34+C52+C60+C91+C115+C119+C46+C140+C131+C103</f>
        <v>723589.8999999999</v>
      </c>
      <c r="D152" s="60">
        <f>D8+D20+D34+D52+D60+D91+D115+D119+D46+D140+D131+D103</f>
        <v>299105.6</v>
      </c>
      <c r="E152" s="6">
        <f>D152/D151*100</f>
        <v>42.182398295925054</v>
      </c>
      <c r="F152" s="6">
        <f aca="true" t="shared" si="21" ref="F152:F157">D152/B152*100</f>
        <v>71.9199551416395</v>
      </c>
      <c r="G152" s="6">
        <f t="shared" si="18"/>
        <v>41.336342588529774</v>
      </c>
      <c r="H152" s="61">
        <f t="shared" si="19"/>
        <v>116781.20000000001</v>
      </c>
      <c r="I152" s="72">
        <f t="shared" si="20"/>
        <v>424484.29999999993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61876.90000000001</v>
      </c>
      <c r="C153" s="61">
        <f>C11+C23+C36+C55+C62+C92+C49+C141+C109+C112+C96+C138</f>
        <v>102336.00000000003</v>
      </c>
      <c r="D153" s="61">
        <f>D11+D23+D36+D55+D62+D92+D49+D141+D109+D112+D96+D138</f>
        <v>52506.20000000001</v>
      </c>
      <c r="E153" s="6">
        <f>D153/D151*100</f>
        <v>7.404867850703901</v>
      </c>
      <c r="F153" s="6">
        <f t="shared" si="21"/>
        <v>84.85589937440305</v>
      </c>
      <c r="G153" s="6">
        <f t="shared" si="18"/>
        <v>51.30765322076297</v>
      </c>
      <c r="H153" s="61">
        <f t="shared" si="19"/>
        <v>9370.699999999997</v>
      </c>
      <c r="I153" s="72">
        <f t="shared" si="20"/>
        <v>49829.80000000002</v>
      </c>
      <c r="K153" s="39"/>
      <c r="L153" s="90"/>
    </row>
    <row r="154" spans="1:12" ht="18.75">
      <c r="A154" s="18" t="s">
        <v>1</v>
      </c>
      <c r="B154" s="60">
        <f>B22+B10+B54+B48+B61+B35+B123</f>
        <v>18645.7</v>
      </c>
      <c r="C154" s="60">
        <f>C22+C10+C54+C48+C61+C35+C123</f>
        <v>28689.7</v>
      </c>
      <c r="D154" s="60">
        <f>D22+D10+D54+D48+D61+D35+D123</f>
        <v>16765.4</v>
      </c>
      <c r="E154" s="6">
        <f>D154/D151*100</f>
        <v>2.3643983275154397</v>
      </c>
      <c r="F154" s="6">
        <f t="shared" si="21"/>
        <v>89.91563738556343</v>
      </c>
      <c r="G154" s="6">
        <f t="shared" si="18"/>
        <v>58.43700003834129</v>
      </c>
      <c r="H154" s="61">
        <f t="shared" si="19"/>
        <v>1880.2999999999993</v>
      </c>
      <c r="I154" s="72">
        <f t="shared" si="20"/>
        <v>11924.3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14999.8</v>
      </c>
      <c r="C155" s="60">
        <f>C12+C24+C104+C63+C38+C93+C129+C56+C136</f>
        <v>29558.7</v>
      </c>
      <c r="D155" s="60">
        <f>D12+D24+D104+D63+D38+D93+D129+D56+D136</f>
        <v>8801.699999999999</v>
      </c>
      <c r="E155" s="6">
        <f>D155/D151*100</f>
        <v>1.241290083105243</v>
      </c>
      <c r="F155" s="6">
        <f t="shared" si="21"/>
        <v>58.67878238376512</v>
      </c>
      <c r="G155" s="6">
        <f t="shared" si="18"/>
        <v>29.777019963665513</v>
      </c>
      <c r="H155" s="61">
        <f>B155-D155</f>
        <v>6198.1</v>
      </c>
      <c r="I155" s="72">
        <f t="shared" si="20"/>
        <v>20757</v>
      </c>
      <c r="K155" s="39"/>
      <c r="L155" s="90"/>
    </row>
    <row r="156" spans="1:12" ht="18.75">
      <c r="A156" s="18" t="s">
        <v>2</v>
      </c>
      <c r="B156" s="60">
        <f>B9+B21+B47+B53+B122</f>
        <v>49.199999999999996</v>
      </c>
      <c r="C156" s="60">
        <f>C9+C21+C47+C53+C122</f>
        <v>106.9</v>
      </c>
      <c r="D156" s="60">
        <f>D9+D21+D47+D53+D122</f>
        <v>23.5</v>
      </c>
      <c r="E156" s="6">
        <f>D156/D151*100</f>
        <v>0.0033141685075579958</v>
      </c>
      <c r="F156" s="6">
        <f t="shared" si="21"/>
        <v>47.764227642276424</v>
      </c>
      <c r="G156" s="6">
        <f t="shared" si="18"/>
        <v>21.98316183348924</v>
      </c>
      <c r="H156" s="61">
        <f t="shared" si="19"/>
        <v>25.699999999999996</v>
      </c>
      <c r="I156" s="72">
        <f t="shared" si="20"/>
        <v>83.4</v>
      </c>
      <c r="K156" s="39"/>
      <c r="L156" s="40"/>
    </row>
    <row r="157" spans="1:12" ht="19.5" thickBot="1">
      <c r="A157" s="125" t="s">
        <v>28</v>
      </c>
      <c r="B157" s="78">
        <f>B151-B152-B153-B154-B155-B156</f>
        <v>416296.29999999993</v>
      </c>
      <c r="C157" s="78">
        <f>C151-C152-C153-C154-C155-C156</f>
        <v>995415.7000000001</v>
      </c>
      <c r="D157" s="78">
        <f>D151-D152-D153-D154-D155-D156</f>
        <v>331874.40000000014</v>
      </c>
      <c r="E157" s="36">
        <f>D157/D151*100</f>
        <v>46.8037312742428</v>
      </c>
      <c r="F157" s="36">
        <f t="shared" si="21"/>
        <v>79.72071815195095</v>
      </c>
      <c r="G157" s="36">
        <f t="shared" si="18"/>
        <v>33.34028185410378</v>
      </c>
      <c r="H157" s="126">
        <f t="shared" si="19"/>
        <v>84421.89999999979</v>
      </c>
      <c r="I157" s="126">
        <f t="shared" si="20"/>
        <v>663541.2999999999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horizontalDpi="600" verticalDpi="600" orientation="portrait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1879696.9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709076.8000000002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1879696.9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709076.8000000002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2017-06-09T10:53:14Z</cp:lastPrinted>
  <dcterms:created xsi:type="dcterms:W3CDTF">2000-06-20T04:48:00Z</dcterms:created>
  <dcterms:modified xsi:type="dcterms:W3CDTF">2017-06-13T05:02:34Z</dcterms:modified>
  <cp:category/>
  <cp:version/>
  <cp:contentType/>
  <cp:contentStatus/>
</cp:coreProperties>
</file>